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3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7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theme/theme1.xml" ContentType="application/vnd.openxmlformats-officedocument.theme+xml"/>
  <Override PartName="/xl/worksheets/sheet54.xml" ContentType="application/vnd.openxmlformats-officedocument.spreadsheetml.worksheet+xml"/>
  <Override PartName="/xl/worksheets/sheet53.xml" ContentType="application/vnd.openxmlformats-officedocument.spreadsheetml.worksheet+xml"/>
  <Override PartName="/xl/worksheets/sheet52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sharedStrings.xml" ContentType="application/vnd.openxmlformats-officedocument.spreadsheetml.sharedStrings+xml"/>
  <Override PartName="/xl/worksheets/sheet32.xml" ContentType="application/vnd.openxmlformats-officedocument.spreadsheetml.worksheet+xml"/>
  <Override PartName="/xl/worksheets/sheet30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19.xml" ContentType="application/vnd.openxmlformats-officedocument.spreadsheetml.worksheet+xml"/>
  <Override PartName="/xl/worksheets/sheet31.xml" ContentType="application/vnd.openxmlformats-officedocument.spreadsheetml.worksheet+xml"/>
  <Override PartName="/xl/worksheets/sheet20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tables/table2.xml" ContentType="application/vnd.openxmlformats-officedocument.spreadsheetml.table+xml"/>
  <Override PartName="/xl/tables/table50.xml" ContentType="application/vnd.openxmlformats-officedocument.spreadsheetml.table+xml"/>
  <Override PartName="/xl/tables/table49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48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5.xml" ContentType="application/vnd.openxmlformats-officedocument.spreadsheetml.table+xml"/>
  <Override PartName="/xl/tables/table5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tables/table56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44.xml" ContentType="application/vnd.openxmlformats-officedocument.spreadsheetml.table+xml"/>
  <Override PartName="/xl/tables/table16.xml" ContentType="application/vnd.openxmlformats-officedocument.spreadsheetml.table+xml"/>
  <Override PartName="/xl/tables/table15.xml" ContentType="application/vnd.openxmlformats-officedocument.spreadsheetml.table+xml"/>
  <Override PartName="/xl/tables/table14.xml" ContentType="application/vnd.openxmlformats-officedocument.spreadsheetml.table+xml"/>
  <Override PartName="/xl/tables/table13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22.xml" ContentType="application/vnd.openxmlformats-officedocument.spreadsheetml.table+xml"/>
  <Override PartName="/xl/tables/table21.xml" ContentType="application/vnd.openxmlformats-officedocument.spreadsheetml.table+xml"/>
  <Override PartName="/xl/tables/table20.xml" ContentType="application/vnd.openxmlformats-officedocument.spreadsheetml.table+xml"/>
  <Override PartName="/xl/tables/table19.xml" ContentType="application/vnd.openxmlformats-officedocument.spreadsheetml.table+xml"/>
  <Override PartName="/xl/tables/table12.xml" ContentType="application/vnd.openxmlformats-officedocument.spreadsheetml.table+xml"/>
  <Override PartName="/xl/tables/table6.xml" ContentType="application/vnd.openxmlformats-officedocument.spreadsheetml.table+xml"/>
  <Override PartName="/xl/tables/table5.xml" ContentType="application/vnd.openxmlformats-officedocument.spreadsheetml.table+xml"/>
  <Override PartName="/xl/tables/table4.xml" ContentType="application/vnd.openxmlformats-officedocument.spreadsheetml.table+xml"/>
  <Override PartName="/xl/tables/table3.xml" ContentType="application/vnd.openxmlformats-officedocument.spreadsheetml.table+xml"/>
  <Override PartName="/xl/tables/table7.xml" ContentType="application/vnd.openxmlformats-officedocument.spreadsheetml.table+xml"/>
  <Override PartName="/xl/tables/table11.xml" ContentType="application/vnd.openxmlformats-officedocument.spreadsheetml.table+xml"/>
  <Override PartName="/xl/tables/table10.xml" ContentType="application/vnd.openxmlformats-officedocument.spreadsheetml.table+xml"/>
  <Override PartName="/xl/tables/table9.xml" ContentType="application/vnd.openxmlformats-officedocument.spreadsheetml.table+xml"/>
  <Override PartName="/xl/tables/table8.xml" ContentType="application/vnd.openxmlformats-officedocument.spreadsheetml.table+xml"/>
  <Override PartName="/xl/tables/table23.xml" ContentType="application/vnd.openxmlformats-officedocument.spreadsheetml.table+xml"/>
  <Override PartName="/xl/tables/table38.xml" ContentType="application/vnd.openxmlformats-officedocument.spreadsheetml.table+xml"/>
  <Override PartName="/xl/tables/table37.xml" ContentType="application/vnd.openxmlformats-officedocument.spreadsheetml.table+xml"/>
  <Override PartName="/xl/tables/table36.xml" ContentType="application/vnd.openxmlformats-officedocument.spreadsheetml.table+xml"/>
  <Override PartName="/xl/tables/table35.xml" ContentType="application/vnd.openxmlformats-officedocument.spreadsheetml.table+xml"/>
  <Override PartName="/xl/tables/table39.xml" ContentType="application/vnd.openxmlformats-officedocument.spreadsheetml.table+xml"/>
  <Override PartName="/xl/tables/table43.xml" ContentType="application/vnd.openxmlformats-officedocument.spreadsheetml.table+xml"/>
  <Override PartName="/xl/tables/table42.xml" ContentType="application/vnd.openxmlformats-officedocument.spreadsheetml.table+xml"/>
  <Override PartName="/xl/tables/table41.xml" ContentType="application/vnd.openxmlformats-officedocument.spreadsheetml.table+xml"/>
  <Override PartName="/xl/tables/table40.xml" ContentType="application/vnd.openxmlformats-officedocument.spreadsheetml.table+xml"/>
  <Override PartName="/xl/tables/table34.xml" ContentType="application/vnd.openxmlformats-officedocument.spreadsheetml.table+xml"/>
  <Override PartName="/xl/tables/table33.xml" ContentType="application/vnd.openxmlformats-officedocument.spreadsheetml.table+xml"/>
  <Override PartName="/xl/tables/table27.xml" ContentType="application/vnd.openxmlformats-officedocument.spreadsheetml.table+xml"/>
  <Override PartName="/xl/tables/table26.xml" ContentType="application/vnd.openxmlformats-officedocument.spreadsheetml.table+xml"/>
  <Override PartName="/xl/tables/table25.xml" ContentType="application/vnd.openxmlformats-officedocument.spreadsheetml.table+xml"/>
  <Override PartName="/xl/tables/table24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2.xml" ContentType="application/vnd.openxmlformats-officedocument.spreadsheetml.table+xml"/>
  <Override PartName="/xl/tables/table31.xml" ContentType="application/vnd.openxmlformats-officedocument.spreadsheetml.table+xml"/>
  <Override PartName="/xl/tables/table30.xml" ContentType="application/vnd.openxmlformats-officedocument.spreadsheetml.table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Y.LEONG\Desktop\2018_Desktop\DesktopTransfer.7.7.16\NRFTSharePoint\"/>
    </mc:Choice>
  </mc:AlternateContent>
  <xr:revisionPtr revIDLastSave="0" documentId="8_{0948DDD5-05C0-470E-A311-08FF8EE607C4}" xr6:coauthVersionLast="36" xr6:coauthVersionMax="36" xr10:uidLastSave="{00000000-0000-0000-0000-000000000000}"/>
  <bookViews>
    <workbookView xWindow="0" yWindow="0" windowWidth="21570" windowHeight="9615" xr2:uid="{B4992B68-E02A-4438-9AD1-1887FECE2FA6}"/>
  </bookViews>
  <sheets>
    <sheet name="Introduction" sheetId="2" r:id="rId1"/>
    <sheet name="Alabama" sheetId="3" r:id="rId2"/>
    <sheet name="Alaska" sheetId="4" r:id="rId3"/>
    <sheet name="AmericanSamoa" sheetId="5" r:id="rId4"/>
    <sheet name="Arizona" sheetId="6" r:id="rId5"/>
    <sheet name="Arkansas" sheetId="7" r:id="rId6"/>
    <sheet name="California" sheetId="8" r:id="rId7"/>
    <sheet name="Colorado" sheetId="9" r:id="rId8"/>
    <sheet name="Connecticut" sheetId="10" r:id="rId9"/>
    <sheet name="Delaware" sheetId="11" r:id="rId10"/>
    <sheet name="Florida" sheetId="12" r:id="rId11"/>
    <sheet name="Georgia" sheetId="13" r:id="rId12"/>
    <sheet name="Guam" sheetId="14" r:id="rId13"/>
    <sheet name="Hawaii" sheetId="15" r:id="rId14"/>
    <sheet name="Idaho" sheetId="16" r:id="rId15"/>
    <sheet name="Illinois" sheetId="17" r:id="rId16"/>
    <sheet name="Indiana" sheetId="18" r:id="rId17"/>
    <sheet name="Iowa" sheetId="19" r:id="rId18"/>
    <sheet name="Kansas" sheetId="20" r:id="rId19"/>
    <sheet name="Kentucky" sheetId="21" r:id="rId20"/>
    <sheet name="Louisiana" sheetId="22" r:id="rId21"/>
    <sheet name="Maine" sheetId="23" r:id="rId22"/>
    <sheet name="Maryland" sheetId="24" r:id="rId23"/>
    <sheet name="Massachusetts" sheetId="25" r:id="rId24"/>
    <sheet name="Michigan" sheetId="26" r:id="rId25"/>
    <sheet name="Minnesota" sheetId="27" r:id="rId26"/>
    <sheet name="Mississippi" sheetId="28" r:id="rId27"/>
    <sheet name="Missouri" sheetId="29" r:id="rId28"/>
    <sheet name="Montana" sheetId="30" r:id="rId29"/>
    <sheet name="Nebraska" sheetId="31" r:id="rId30"/>
    <sheet name="Nevada" sheetId="32" r:id="rId31"/>
    <sheet name="New Hampshire" sheetId="33" r:id="rId32"/>
    <sheet name="New Jersey" sheetId="34" r:id="rId33"/>
    <sheet name="New Mexico" sheetId="35" r:id="rId34"/>
    <sheet name="New York" sheetId="36" r:id="rId35"/>
    <sheet name="North Carolina" sheetId="37" r:id="rId36"/>
    <sheet name="North Dakota" sheetId="38" r:id="rId37"/>
    <sheet name="Northern Mariana Islands" sheetId="39" r:id="rId38"/>
    <sheet name="Ohio" sheetId="40" r:id="rId39"/>
    <sheet name="Oklahoma" sheetId="41" r:id="rId40"/>
    <sheet name="Oregon" sheetId="42" r:id="rId41"/>
    <sheet name="Pennsylvania" sheetId="43" r:id="rId42"/>
    <sheet name="Puerto Rico" sheetId="44" r:id="rId43"/>
    <sheet name="Rhode Island" sheetId="45" r:id="rId44"/>
    <sheet name="South Carolina" sheetId="46" r:id="rId45"/>
    <sheet name="South Dakota" sheetId="47" r:id="rId46"/>
    <sheet name="Tennessee" sheetId="48" r:id="rId47"/>
    <sheet name="Texas" sheetId="49" r:id="rId48"/>
    <sheet name="Utah" sheetId="50" r:id="rId49"/>
    <sheet name="Vermont" sheetId="51" r:id="rId50"/>
    <sheet name="Virgin Island" sheetId="52" r:id="rId51"/>
    <sheet name="Virginia" sheetId="53" r:id="rId52"/>
    <sheet name="Washington" sheetId="54" r:id="rId53"/>
    <sheet name="Washington D.C." sheetId="55" r:id="rId54"/>
    <sheet name="West Virginia" sheetId="56" r:id="rId55"/>
    <sheet name="Wisconsin" sheetId="57" r:id="rId56"/>
    <sheet name="Wyoming" sheetId="58" r:id="rId57"/>
  </sheets>
  <definedNames>
    <definedName name="_xlnm.Print_Area" localSheetId="1">Alabama!$A$1:$O$9</definedName>
    <definedName name="_xlnm.Print_Area" localSheetId="2">Alaska!$A$1:$O$7</definedName>
    <definedName name="_xlnm.Print_Area" localSheetId="3">AmericanSamoa!$A$1:$O$4</definedName>
    <definedName name="_xlnm.Print_Area" localSheetId="4">Arizona!$A$1:$O$36</definedName>
    <definedName name="_xlnm.Print_Area" localSheetId="5">Arkansas!$A$1:$O$6</definedName>
    <definedName name="_xlnm.Print_Area" localSheetId="6">California!$A$1:$O$61</definedName>
    <definedName name="_xlnm.Print_Area" localSheetId="7">Colorado!$A$1:$O$57</definedName>
    <definedName name="_xlnm.Print_Area" localSheetId="8">Connecticut!$A$1:$O$27</definedName>
    <definedName name="_xlnm.Print_Area" localSheetId="9">Delaware!$A$1:$O$4</definedName>
    <definedName name="_xlnm.Print_Area" localSheetId="10">Florida!$A$1:$O$13</definedName>
    <definedName name="_xlnm.Print_Area" localSheetId="11">Georgia!$A$1:$O$119</definedName>
    <definedName name="_xlnm.Print_Area" localSheetId="12">Guam!$A$1:$O$4</definedName>
    <definedName name="_xlnm.Print_Area" localSheetId="13">Hawaii!$A$1:$O$12</definedName>
    <definedName name="_xlnm.Print_Area" localSheetId="14">Idaho!$A$1:$O$18</definedName>
    <definedName name="_xlnm.Print_Area" localSheetId="15">Illinois!$A$1:$O$49</definedName>
    <definedName name="_xlnm.Print_Area" localSheetId="16">Indiana!$A$1:$O$15</definedName>
    <definedName name="_xlnm.Print_Area" localSheetId="17">Iowa!$A$1:$O$30</definedName>
    <definedName name="_xlnm.Print_Area" localSheetId="18">Kansas!$A$1:$O$5</definedName>
    <definedName name="_xlnm.Print_Area" localSheetId="19">Kentucky!$A$1:$O$10</definedName>
    <definedName name="_xlnm.Print_Area" localSheetId="20">Louisiana!$A$1:$O$4</definedName>
    <definedName name="_xlnm.Print_Area" localSheetId="21">Maine!$A$1:$O$5</definedName>
    <definedName name="_xlnm.Print_Area" localSheetId="22">Maryland!$A$1:$O$13</definedName>
    <definedName name="_xlnm.Print_Area" localSheetId="23">Massachusetts!$A$1:$O$107</definedName>
    <definedName name="_xlnm.Print_Area" localSheetId="24">Michigan!$A$1:$O$46</definedName>
    <definedName name="_xlnm.Print_Area" localSheetId="25">Minnesota!$A$1:$O$44</definedName>
    <definedName name="_xlnm.Print_Area" localSheetId="26">Mississippi!$A$1:$O$4</definedName>
    <definedName name="_xlnm.Print_Area" localSheetId="27">Missouri!$A$1:$O$62</definedName>
    <definedName name="_xlnm.Print_Area" localSheetId="28">Montana!$A$1:$O$43</definedName>
    <definedName name="_xlnm.Print_Area" localSheetId="29">Nebraska!$A$1:$O$15</definedName>
    <definedName name="_xlnm.Print_Area" localSheetId="30">Nevada!$A$1:$O$11</definedName>
    <definedName name="_xlnm.Print_Area" localSheetId="31">'New Hampshire'!$A$1:$O$12</definedName>
    <definedName name="_xlnm.Print_Area" localSheetId="32">'New Jersey'!$A$1:$O$15</definedName>
    <definedName name="_xlnm.Print_Area" localSheetId="33">'New Mexico'!$A$1:$O$11</definedName>
    <definedName name="_xlnm.Print_Area" localSheetId="34">'New York'!$A$1:$O$11</definedName>
    <definedName name="_xlnm.Print_Area" localSheetId="35">'North Carolina'!$A$1:$O$59</definedName>
    <definedName name="_xlnm.Print_Area" localSheetId="36">'North Dakota'!$A$1:$O$12</definedName>
    <definedName name="_xlnm.Print_Area" localSheetId="37">'Northern Mariana Islands'!$A$1:$O$5</definedName>
    <definedName name="_xlnm.Print_Area" localSheetId="38">Ohio!$A$1:$O$24</definedName>
    <definedName name="_xlnm.Print_Area" localSheetId="39">Oklahoma!$A$1:$O$9</definedName>
    <definedName name="_xlnm.Print_Area" localSheetId="40">Oregon!$A$1:$O$17</definedName>
    <definedName name="_xlnm.Print_Area" localSheetId="41">Pennsylvania!$A$1:$O$10</definedName>
    <definedName name="_xlnm.Print_Area" localSheetId="42">'Puerto Rico'!$A$1:$O$5</definedName>
    <definedName name="_xlnm.Print_Area" localSheetId="43">'Rhode Island'!$A$1:$O$6</definedName>
    <definedName name="_xlnm.Print_Area" localSheetId="44">'South Carolina'!$A$1:$O$5</definedName>
    <definedName name="_xlnm.Print_Area" localSheetId="45">'South Dakota'!$A$1:$O$4</definedName>
    <definedName name="_xlnm.Print_Area" localSheetId="46">Tennessee!$A$1:$O$16</definedName>
    <definedName name="_xlnm.Print_Area" localSheetId="47">Texas!$A$1:$O$100</definedName>
    <definedName name="_xlnm.Print_Area" localSheetId="48">Utah!$A$1:$O$24</definedName>
    <definedName name="_xlnm.Print_Area" localSheetId="49">Vermont!$A$1:$O$4</definedName>
    <definedName name="_xlnm.Print_Area" localSheetId="50">'Virgin Island'!$A$1:$O$4</definedName>
    <definedName name="_xlnm.Print_Area" localSheetId="51">Virginia!$A$1:$O$30</definedName>
    <definedName name="_xlnm.Print_Area" localSheetId="52">Washington!$A$1:$O$45</definedName>
    <definedName name="_xlnm.Print_Area" localSheetId="53">'Washington D.C.'!$A$1:$O$6</definedName>
    <definedName name="_xlnm.Print_Area" localSheetId="54">'West Virginia'!$A$1:$O$11</definedName>
    <definedName name="_xlnm.Print_Area" localSheetId="55">Wisconsin!$A$1:$O$45</definedName>
    <definedName name="_xlnm.Print_Area" localSheetId="56">Wyoming!$A$1:$O$10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" i="58" l="1"/>
  <c r="O10" i="58"/>
  <c r="N10" i="58"/>
  <c r="A10" i="58"/>
  <c r="O9" i="58"/>
  <c r="N9" i="58"/>
  <c r="A9" i="58"/>
  <c r="O8" i="58"/>
  <c r="N8" i="58"/>
  <c r="A8" i="58"/>
  <c r="O7" i="58"/>
  <c r="N7" i="58"/>
  <c r="O6" i="58"/>
  <c r="N6" i="58"/>
  <c r="A6" i="58"/>
  <c r="O5" i="58"/>
  <c r="N5" i="58"/>
  <c r="A5" i="58"/>
  <c r="O4" i="58"/>
  <c r="N4" i="58"/>
  <c r="A71" i="2"/>
  <c r="B1" i="57"/>
  <c r="O45" i="57"/>
  <c r="O44" i="57"/>
  <c r="O43" i="57"/>
  <c r="N43" i="57"/>
  <c r="A43" i="57"/>
  <c r="O42" i="57"/>
  <c r="N42" i="57"/>
  <c r="O41" i="57"/>
  <c r="N41" i="57"/>
  <c r="O40" i="57"/>
  <c r="N40" i="57"/>
  <c r="A40" i="57"/>
  <c r="O39" i="57"/>
  <c r="N39" i="57"/>
  <c r="O38" i="57"/>
  <c r="N38" i="57"/>
  <c r="O37" i="57"/>
  <c r="N37" i="57"/>
  <c r="O36" i="57"/>
  <c r="N36" i="57"/>
  <c r="A36" i="57"/>
  <c r="O35" i="57"/>
  <c r="N35" i="57"/>
  <c r="A35" i="57"/>
  <c r="O34" i="57"/>
  <c r="N34" i="57"/>
  <c r="O33" i="57"/>
  <c r="N33" i="57"/>
  <c r="O32" i="57"/>
  <c r="O31" i="57"/>
  <c r="N31" i="57"/>
  <c r="O30" i="57"/>
  <c r="O29" i="57"/>
  <c r="O28" i="57"/>
  <c r="O27" i="57"/>
  <c r="N27" i="57"/>
  <c r="O26" i="57"/>
  <c r="N26" i="57"/>
  <c r="O25" i="57"/>
  <c r="N25" i="57"/>
  <c r="O24" i="57"/>
  <c r="O23" i="57"/>
  <c r="N23" i="57"/>
  <c r="O22" i="57"/>
  <c r="N22" i="57"/>
  <c r="O21" i="57"/>
  <c r="N21" i="57"/>
  <c r="O20" i="57"/>
  <c r="N20" i="57"/>
  <c r="O19" i="57"/>
  <c r="O18" i="57"/>
  <c r="O17" i="57"/>
  <c r="N17" i="57"/>
  <c r="A17" i="57"/>
  <c r="O16" i="57"/>
  <c r="N16" i="57"/>
  <c r="O15" i="57"/>
  <c r="N15" i="57"/>
  <c r="O14" i="57"/>
  <c r="N14" i="57"/>
  <c r="O13" i="57"/>
  <c r="N13" i="57"/>
  <c r="O12" i="57"/>
  <c r="N12" i="57"/>
  <c r="O11" i="57"/>
  <c r="N11" i="57"/>
  <c r="O10" i="57"/>
  <c r="N10" i="57"/>
  <c r="O9" i="57"/>
  <c r="O8" i="57"/>
  <c r="O7" i="57"/>
  <c r="N7" i="57"/>
  <c r="O6" i="57"/>
  <c r="N6" i="57"/>
  <c r="O5" i="57"/>
  <c r="N5" i="57"/>
  <c r="O4" i="57"/>
  <c r="A70" i="2"/>
  <c r="B1" i="56"/>
  <c r="O11" i="56"/>
  <c r="N11" i="56"/>
  <c r="A11" i="56"/>
  <c r="O10" i="56"/>
  <c r="N10" i="56"/>
  <c r="A10" i="56"/>
  <c r="O9" i="56"/>
  <c r="N9" i="56"/>
  <c r="A9" i="56"/>
  <c r="O8" i="56"/>
  <c r="N8" i="56"/>
  <c r="O7" i="56"/>
  <c r="N7" i="56"/>
  <c r="O6" i="56"/>
  <c r="N6" i="56"/>
  <c r="O5" i="56"/>
  <c r="N5" i="56"/>
  <c r="O4" i="56"/>
  <c r="A69" i="2"/>
  <c r="B1" i="55"/>
  <c r="O6" i="55"/>
  <c r="N6" i="55"/>
  <c r="A6" i="55"/>
  <c r="O5" i="55"/>
  <c r="N5" i="55"/>
  <c r="A5" i="55"/>
  <c r="O4" i="55"/>
  <c r="A4" i="55"/>
  <c r="A68" i="2"/>
  <c r="B1" i="54"/>
  <c r="O45" i="54"/>
  <c r="N45" i="54"/>
  <c r="A45" i="54"/>
  <c r="O44" i="54"/>
  <c r="N44" i="54"/>
  <c r="A44" i="54"/>
  <c r="O43" i="54"/>
  <c r="N43" i="54"/>
  <c r="A43" i="54"/>
  <c r="O42" i="54"/>
  <c r="N42" i="54"/>
  <c r="A42" i="54"/>
  <c r="O41" i="54"/>
  <c r="N41" i="54"/>
  <c r="A41" i="54"/>
  <c r="O40" i="54"/>
  <c r="N40" i="54"/>
  <c r="A40" i="54"/>
  <c r="O39" i="54"/>
  <c r="A39" i="54"/>
  <c r="O38" i="54"/>
  <c r="N38" i="54"/>
  <c r="A38" i="54"/>
  <c r="O37" i="54"/>
  <c r="N37" i="54"/>
  <c r="A37" i="54"/>
  <c r="O36" i="54"/>
  <c r="N36" i="54"/>
  <c r="A36" i="54"/>
  <c r="O35" i="54"/>
  <c r="N35" i="54"/>
  <c r="A35" i="54"/>
  <c r="O34" i="54"/>
  <c r="N34" i="54"/>
  <c r="A34" i="54"/>
  <c r="O33" i="54"/>
  <c r="A33" i="54"/>
  <c r="O32" i="54"/>
  <c r="N32" i="54"/>
  <c r="A32" i="54"/>
  <c r="O31" i="54"/>
  <c r="N31" i="54"/>
  <c r="A31" i="54"/>
  <c r="O30" i="54"/>
  <c r="N30" i="54"/>
  <c r="A30" i="54"/>
  <c r="O29" i="54"/>
  <c r="N29" i="54"/>
  <c r="A29" i="54"/>
  <c r="O28" i="54"/>
  <c r="N28" i="54"/>
  <c r="A28" i="54"/>
  <c r="O27" i="54"/>
  <c r="N27" i="54"/>
  <c r="A27" i="54"/>
  <c r="O26" i="54"/>
  <c r="N26" i="54"/>
  <c r="A26" i="54"/>
  <c r="O25" i="54"/>
  <c r="N25" i="54"/>
  <c r="A25" i="54"/>
  <c r="O24" i="54"/>
  <c r="N24" i="54"/>
  <c r="A24" i="54"/>
  <c r="O23" i="54"/>
  <c r="N23" i="54"/>
  <c r="A23" i="54"/>
  <c r="O22" i="54"/>
  <c r="N22" i="54"/>
  <c r="A22" i="54"/>
  <c r="O21" i="54"/>
  <c r="N21" i="54"/>
  <c r="A21" i="54"/>
  <c r="O20" i="54"/>
  <c r="N20" i="54"/>
  <c r="A20" i="54"/>
  <c r="O19" i="54"/>
  <c r="N19" i="54"/>
  <c r="A19" i="54"/>
  <c r="O18" i="54"/>
  <c r="N18" i="54"/>
  <c r="A18" i="54"/>
  <c r="O17" i="54"/>
  <c r="N17" i="54"/>
  <c r="A17" i="54"/>
  <c r="O16" i="54"/>
  <c r="N16" i="54"/>
  <c r="A16" i="54"/>
  <c r="O15" i="54"/>
  <c r="N15" i="54"/>
  <c r="A15" i="54"/>
  <c r="O14" i="54"/>
  <c r="N14" i="54"/>
  <c r="A14" i="54"/>
  <c r="O13" i="54"/>
  <c r="N13" i="54"/>
  <c r="A13" i="54"/>
  <c r="O12" i="54"/>
  <c r="N12" i="54"/>
  <c r="A12" i="54"/>
  <c r="O11" i="54"/>
  <c r="N11" i="54"/>
  <c r="A11" i="54"/>
  <c r="O10" i="54"/>
  <c r="N10" i="54"/>
  <c r="A10" i="54"/>
  <c r="O9" i="54"/>
  <c r="N9" i="54"/>
  <c r="A9" i="54"/>
  <c r="O8" i="54"/>
  <c r="N8" i="54"/>
  <c r="A8" i="54"/>
  <c r="O7" i="54"/>
  <c r="N7" i="54"/>
  <c r="A7" i="54"/>
  <c r="O6" i="54"/>
  <c r="N6" i="54"/>
  <c r="A6" i="54"/>
  <c r="O5" i="54"/>
  <c r="N5" i="54"/>
  <c r="A5" i="54"/>
  <c r="O4" i="54"/>
  <c r="N4" i="54"/>
  <c r="A4" i="54"/>
  <c r="A67" i="2"/>
  <c r="B1" i="53"/>
  <c r="O30" i="53"/>
  <c r="N30" i="53"/>
  <c r="O29" i="53"/>
  <c r="N29" i="53"/>
  <c r="A29" i="53"/>
  <c r="O28" i="53"/>
  <c r="N28" i="53"/>
  <c r="O27" i="53"/>
  <c r="N27" i="53"/>
  <c r="O26" i="53"/>
  <c r="N26" i="53"/>
  <c r="O25" i="53"/>
  <c r="N25" i="53"/>
  <c r="A25" i="53"/>
  <c r="O24" i="53"/>
  <c r="N24" i="53"/>
  <c r="O23" i="53"/>
  <c r="N23" i="53"/>
  <c r="A23" i="53"/>
  <c r="O22" i="53"/>
  <c r="N22" i="53"/>
  <c r="A22" i="53"/>
  <c r="O21" i="53"/>
  <c r="N21" i="53"/>
  <c r="O20" i="53"/>
  <c r="N20" i="53"/>
  <c r="O19" i="53"/>
  <c r="N19" i="53"/>
  <c r="O18" i="53"/>
  <c r="A18" i="53"/>
  <c r="O17" i="53"/>
  <c r="N17" i="53"/>
  <c r="A17" i="53"/>
  <c r="O16" i="53"/>
  <c r="N16" i="53"/>
  <c r="O15" i="53"/>
  <c r="N15" i="53"/>
  <c r="O14" i="53"/>
  <c r="N14" i="53"/>
  <c r="O13" i="53"/>
  <c r="N13" i="53"/>
  <c r="A13" i="53"/>
  <c r="O12" i="53"/>
  <c r="N12" i="53"/>
  <c r="A12" i="53"/>
  <c r="O11" i="53"/>
  <c r="A11" i="53"/>
  <c r="O10" i="53"/>
  <c r="N10" i="53"/>
  <c r="O9" i="53"/>
  <c r="O8" i="53"/>
  <c r="N8" i="53"/>
  <c r="O7" i="53"/>
  <c r="N7" i="53"/>
  <c r="O6" i="53"/>
  <c r="N6" i="53"/>
  <c r="A6" i="53"/>
  <c r="O5" i="53"/>
  <c r="N5" i="53"/>
  <c r="A5" i="53"/>
  <c r="O4" i="53"/>
  <c r="N4" i="53"/>
  <c r="A4" i="53"/>
  <c r="A66" i="2"/>
  <c r="B1" i="52"/>
  <c r="O4" i="52"/>
  <c r="A65" i="2"/>
  <c r="B1" i="51"/>
  <c r="O4" i="51"/>
  <c r="N4" i="51"/>
  <c r="A4" i="51"/>
  <c r="A64" i="2"/>
  <c r="B1" i="50"/>
  <c r="O24" i="50"/>
  <c r="N24" i="50"/>
  <c r="A24" i="50"/>
  <c r="O23" i="50"/>
  <c r="N23" i="50"/>
  <c r="A23" i="50"/>
  <c r="O22" i="50"/>
  <c r="N22" i="50"/>
  <c r="A22" i="50"/>
  <c r="O21" i="50"/>
  <c r="N21" i="50"/>
  <c r="A21" i="50"/>
  <c r="O20" i="50"/>
  <c r="N20" i="50"/>
  <c r="O19" i="50"/>
  <c r="N19" i="50"/>
  <c r="O18" i="50"/>
  <c r="N18" i="50"/>
  <c r="A18" i="50"/>
  <c r="O17" i="50"/>
  <c r="N17" i="50"/>
  <c r="A17" i="50"/>
  <c r="O16" i="50"/>
  <c r="N16" i="50"/>
  <c r="A16" i="50"/>
  <c r="O15" i="50"/>
  <c r="N15" i="50"/>
  <c r="A15" i="50"/>
  <c r="O14" i="50"/>
  <c r="N14" i="50"/>
  <c r="A14" i="50"/>
  <c r="O13" i="50"/>
  <c r="N13" i="50"/>
  <c r="A13" i="50"/>
  <c r="O12" i="50"/>
  <c r="N12" i="50"/>
  <c r="A12" i="50"/>
  <c r="O11" i="50"/>
  <c r="A11" i="50"/>
  <c r="O10" i="50"/>
  <c r="N10" i="50"/>
  <c r="A10" i="50"/>
  <c r="O9" i="50"/>
  <c r="N9" i="50"/>
  <c r="O8" i="50"/>
  <c r="N8" i="50"/>
  <c r="A8" i="50"/>
  <c r="O7" i="50"/>
  <c r="N7" i="50"/>
  <c r="A7" i="50"/>
  <c r="O6" i="50"/>
  <c r="A6" i="50"/>
  <c r="O5" i="50"/>
  <c r="N5" i="50"/>
  <c r="A5" i="50"/>
  <c r="O4" i="50"/>
  <c r="N4" i="50"/>
  <c r="A4" i="50"/>
  <c r="A63" i="2"/>
  <c r="B1" i="49"/>
  <c r="O100" i="49"/>
  <c r="N100" i="49"/>
  <c r="A100" i="49"/>
  <c r="O99" i="49"/>
  <c r="N99" i="49"/>
  <c r="A99" i="49"/>
  <c r="O98" i="49"/>
  <c r="N98" i="49"/>
  <c r="A98" i="49"/>
  <c r="O97" i="49"/>
  <c r="N97" i="49"/>
  <c r="A97" i="49"/>
  <c r="O96" i="49"/>
  <c r="N96" i="49"/>
  <c r="A96" i="49"/>
  <c r="O95" i="49"/>
  <c r="O94" i="49"/>
  <c r="N94" i="49"/>
  <c r="A94" i="49"/>
  <c r="O93" i="49"/>
  <c r="N93" i="49"/>
  <c r="A93" i="49"/>
  <c r="O92" i="49"/>
  <c r="N92" i="49"/>
  <c r="A92" i="49"/>
  <c r="O91" i="49"/>
  <c r="N91" i="49"/>
  <c r="A91" i="49"/>
  <c r="O90" i="49"/>
  <c r="N90" i="49"/>
  <c r="A90" i="49"/>
  <c r="O89" i="49"/>
  <c r="N89" i="49"/>
  <c r="A89" i="49"/>
  <c r="O88" i="49"/>
  <c r="N88" i="49"/>
  <c r="A88" i="49"/>
  <c r="O87" i="49"/>
  <c r="N87" i="49"/>
  <c r="A87" i="49"/>
  <c r="O86" i="49"/>
  <c r="N86" i="49"/>
  <c r="A86" i="49"/>
  <c r="O85" i="49"/>
  <c r="N85" i="49"/>
  <c r="A85" i="49"/>
  <c r="O84" i="49"/>
  <c r="N84" i="49"/>
  <c r="A84" i="49"/>
  <c r="O83" i="49"/>
  <c r="N83" i="49"/>
  <c r="A83" i="49"/>
  <c r="O82" i="49"/>
  <c r="N82" i="49"/>
  <c r="A82" i="49"/>
  <c r="O81" i="49"/>
  <c r="N81" i="49"/>
  <c r="A81" i="49"/>
  <c r="O80" i="49"/>
  <c r="N80" i="49"/>
  <c r="O79" i="49"/>
  <c r="N79" i="49"/>
  <c r="A79" i="49"/>
  <c r="O78" i="49"/>
  <c r="N78" i="49"/>
  <c r="A78" i="49"/>
  <c r="O77" i="49"/>
  <c r="N77" i="49"/>
  <c r="A77" i="49"/>
  <c r="O76" i="49"/>
  <c r="N76" i="49"/>
  <c r="A76" i="49"/>
  <c r="O75" i="49"/>
  <c r="N75" i="49"/>
  <c r="O74" i="49"/>
  <c r="N74" i="49"/>
  <c r="A74" i="49"/>
  <c r="O73" i="49"/>
  <c r="N73" i="49"/>
  <c r="A73" i="49"/>
  <c r="O72" i="49"/>
  <c r="A72" i="49"/>
  <c r="O71" i="49"/>
  <c r="A71" i="49"/>
  <c r="O70" i="49"/>
  <c r="N70" i="49"/>
  <c r="O69" i="49"/>
  <c r="A69" i="49"/>
  <c r="O68" i="49"/>
  <c r="N68" i="49"/>
  <c r="A68" i="49"/>
  <c r="O67" i="49"/>
  <c r="A67" i="49"/>
  <c r="O66" i="49"/>
  <c r="N66" i="49"/>
  <c r="A66" i="49"/>
  <c r="O65" i="49"/>
  <c r="A65" i="49"/>
  <c r="O64" i="49"/>
  <c r="N64" i="49"/>
  <c r="A64" i="49"/>
  <c r="O63" i="49"/>
  <c r="N63" i="49"/>
  <c r="A63" i="49"/>
  <c r="O62" i="49"/>
  <c r="N62" i="49"/>
  <c r="A62" i="49"/>
  <c r="O61" i="49"/>
  <c r="N61" i="49"/>
  <c r="A61" i="49"/>
  <c r="O60" i="49"/>
  <c r="N60" i="49"/>
  <c r="A60" i="49"/>
  <c r="O59" i="49"/>
  <c r="N59" i="49"/>
  <c r="A59" i="49"/>
  <c r="O58" i="49"/>
  <c r="N58" i="49"/>
  <c r="A58" i="49"/>
  <c r="O57" i="49"/>
  <c r="N57" i="49"/>
  <c r="A57" i="49"/>
  <c r="O56" i="49"/>
  <c r="N56" i="49"/>
  <c r="A56" i="49"/>
  <c r="O55" i="49"/>
  <c r="N55" i="49"/>
  <c r="A55" i="49"/>
  <c r="O54" i="49"/>
  <c r="N54" i="49"/>
  <c r="A54" i="49"/>
  <c r="O53" i="49"/>
  <c r="N53" i="49"/>
  <c r="A53" i="49"/>
  <c r="O52" i="49"/>
  <c r="N52" i="49"/>
  <c r="A52" i="49"/>
  <c r="O51" i="49"/>
  <c r="N51" i="49"/>
  <c r="A51" i="49"/>
  <c r="O50" i="49"/>
  <c r="N50" i="49"/>
  <c r="A50" i="49"/>
  <c r="O49" i="49"/>
  <c r="N49" i="49"/>
  <c r="A49" i="49"/>
  <c r="O48" i="49"/>
  <c r="N48" i="49"/>
  <c r="A48" i="49"/>
  <c r="O47" i="49"/>
  <c r="N47" i="49"/>
  <c r="A47" i="49"/>
  <c r="O46" i="49"/>
  <c r="N46" i="49"/>
  <c r="A46" i="49"/>
  <c r="O45" i="49"/>
  <c r="A45" i="49"/>
  <c r="O44" i="49"/>
  <c r="N44" i="49"/>
  <c r="A44" i="49"/>
  <c r="O43" i="49"/>
  <c r="N43" i="49"/>
  <c r="A43" i="49"/>
  <c r="O42" i="49"/>
  <c r="N42" i="49"/>
  <c r="A42" i="49"/>
  <c r="O41" i="49"/>
  <c r="N41" i="49"/>
  <c r="A41" i="49"/>
  <c r="O40" i="49"/>
  <c r="A40" i="49"/>
  <c r="O39" i="49"/>
  <c r="N39" i="49"/>
  <c r="A39" i="49"/>
  <c r="O38" i="49"/>
  <c r="N38" i="49"/>
  <c r="A38" i="49"/>
  <c r="O37" i="49"/>
  <c r="N37" i="49"/>
  <c r="A37" i="49"/>
  <c r="O36" i="49"/>
  <c r="N36" i="49"/>
  <c r="A36" i="49"/>
  <c r="O35" i="49"/>
  <c r="N35" i="49"/>
  <c r="A35" i="49"/>
  <c r="O34" i="49"/>
  <c r="N34" i="49"/>
  <c r="A34" i="49"/>
  <c r="O33" i="49"/>
  <c r="N33" i="49"/>
  <c r="A33" i="49"/>
  <c r="O32" i="49"/>
  <c r="N32" i="49"/>
  <c r="A32" i="49"/>
  <c r="O31" i="49"/>
  <c r="N31" i="49"/>
  <c r="A31" i="49"/>
  <c r="O30" i="49"/>
  <c r="N30" i="49"/>
  <c r="A30" i="49"/>
  <c r="O29" i="49"/>
  <c r="N29" i="49"/>
  <c r="A29" i="49"/>
  <c r="O28" i="49"/>
  <c r="N28" i="49"/>
  <c r="A28" i="49"/>
  <c r="O27" i="49"/>
  <c r="N27" i="49"/>
  <c r="A27" i="49"/>
  <c r="O26" i="49"/>
  <c r="N26" i="49"/>
  <c r="A26" i="49"/>
  <c r="O25" i="49"/>
  <c r="N25" i="49"/>
  <c r="A25" i="49"/>
  <c r="O24" i="49"/>
  <c r="N24" i="49"/>
  <c r="A24" i="49"/>
  <c r="O23" i="49"/>
  <c r="N23" i="49"/>
  <c r="A23" i="49"/>
  <c r="O22" i="49"/>
  <c r="N22" i="49"/>
  <c r="O21" i="49"/>
  <c r="N21" i="49"/>
  <c r="A21" i="49"/>
  <c r="O20" i="49"/>
  <c r="N20" i="49"/>
  <c r="A20" i="49"/>
  <c r="O19" i="49"/>
  <c r="N19" i="49"/>
  <c r="A19" i="49"/>
  <c r="O18" i="49"/>
  <c r="N18" i="49"/>
  <c r="A18" i="49"/>
  <c r="O17" i="49"/>
  <c r="N17" i="49"/>
  <c r="A17" i="49"/>
  <c r="O16" i="49"/>
  <c r="N16" i="49"/>
  <c r="A16" i="49"/>
  <c r="O15" i="49"/>
  <c r="N15" i="49"/>
  <c r="A15" i="49"/>
  <c r="O14" i="49"/>
  <c r="N14" i="49"/>
  <c r="A14" i="49"/>
  <c r="O13" i="49"/>
  <c r="N13" i="49"/>
  <c r="A13" i="49"/>
  <c r="O12" i="49"/>
  <c r="N12" i="49"/>
  <c r="A12" i="49"/>
  <c r="O11" i="49"/>
  <c r="N11" i="49"/>
  <c r="A11" i="49"/>
  <c r="O10" i="49"/>
  <c r="N10" i="49"/>
  <c r="A10" i="49"/>
  <c r="O9" i="49"/>
  <c r="N9" i="49"/>
  <c r="A9" i="49"/>
  <c r="O8" i="49"/>
  <c r="N8" i="49"/>
  <c r="A8" i="49"/>
  <c r="O7" i="49"/>
  <c r="N7" i="49"/>
  <c r="A7" i="49"/>
  <c r="O6" i="49"/>
  <c r="N6" i="49"/>
  <c r="A6" i="49"/>
  <c r="O5" i="49"/>
  <c r="N5" i="49"/>
  <c r="A5" i="49"/>
  <c r="O4" i="49"/>
  <c r="N4" i="49"/>
  <c r="A4" i="49"/>
  <c r="A62" i="2"/>
  <c r="B1" i="48"/>
  <c r="O16" i="48"/>
  <c r="N16" i="48"/>
  <c r="A16" i="48"/>
  <c r="O15" i="48"/>
  <c r="N15" i="48"/>
  <c r="O14" i="48"/>
  <c r="N14" i="48"/>
  <c r="O13" i="48"/>
  <c r="N13" i="48"/>
  <c r="A13" i="48"/>
  <c r="O12" i="48"/>
  <c r="A12" i="48"/>
  <c r="O11" i="48"/>
  <c r="N11" i="48"/>
  <c r="A11" i="48"/>
  <c r="O10" i="48"/>
  <c r="N10" i="48"/>
  <c r="A10" i="48"/>
  <c r="O9" i="48"/>
  <c r="N9" i="48"/>
  <c r="A9" i="48"/>
  <c r="O8" i="48"/>
  <c r="N8" i="48"/>
  <c r="O7" i="48"/>
  <c r="N7" i="48"/>
  <c r="O6" i="48"/>
  <c r="N6" i="48"/>
  <c r="A6" i="48"/>
  <c r="O5" i="48"/>
  <c r="N5" i="48"/>
  <c r="O4" i="48"/>
  <c r="N4" i="48"/>
  <c r="A61" i="2"/>
  <c r="B1" i="47"/>
  <c r="O4" i="47"/>
  <c r="A60" i="2"/>
  <c r="B1" i="46"/>
  <c r="O5" i="46"/>
  <c r="N5" i="46"/>
  <c r="A5" i="46"/>
  <c r="O4" i="46"/>
  <c r="N4" i="46"/>
  <c r="A4" i="46"/>
  <c r="A59" i="2"/>
  <c r="B1" i="45"/>
  <c r="O6" i="45"/>
  <c r="A6" i="45"/>
  <c r="O5" i="45"/>
  <c r="N5" i="45"/>
  <c r="A5" i="45"/>
  <c r="O4" i="45"/>
  <c r="N4" i="45"/>
  <c r="A4" i="45"/>
  <c r="A58" i="2"/>
  <c r="B1" i="44"/>
  <c r="O5" i="44"/>
  <c r="O4" i="44"/>
  <c r="A57" i="2"/>
  <c r="B1" i="43"/>
  <c r="O10" i="43"/>
  <c r="N10" i="43"/>
  <c r="O9" i="43"/>
  <c r="N9" i="43"/>
  <c r="A9" i="43"/>
  <c r="O8" i="43"/>
  <c r="N8" i="43"/>
  <c r="A8" i="43"/>
  <c r="O7" i="43"/>
  <c r="N7" i="43"/>
  <c r="O6" i="43"/>
  <c r="N6" i="43"/>
  <c r="A6" i="43"/>
  <c r="O5" i="43"/>
  <c r="N5" i="43"/>
  <c r="A5" i="43"/>
  <c r="O4" i="43"/>
  <c r="N4" i="43"/>
  <c r="A4" i="43"/>
  <c r="A56" i="2"/>
  <c r="B1" i="42"/>
  <c r="O17" i="42"/>
  <c r="N17" i="42"/>
  <c r="O16" i="42"/>
  <c r="N16" i="42"/>
  <c r="O15" i="42"/>
  <c r="N15" i="42"/>
  <c r="A15" i="42"/>
  <c r="O14" i="42"/>
  <c r="N14" i="42"/>
  <c r="A14" i="42"/>
  <c r="O13" i="42"/>
  <c r="N13" i="42"/>
  <c r="O12" i="42"/>
  <c r="N12" i="42"/>
  <c r="A12" i="42"/>
  <c r="O11" i="42"/>
  <c r="N11" i="42"/>
  <c r="A11" i="42"/>
  <c r="O10" i="42"/>
  <c r="A10" i="42"/>
  <c r="O9" i="42"/>
  <c r="N9" i="42"/>
  <c r="A9" i="42"/>
  <c r="O8" i="42"/>
  <c r="N8" i="42"/>
  <c r="A8" i="42"/>
  <c r="O7" i="42"/>
  <c r="A7" i="42"/>
  <c r="O6" i="42"/>
  <c r="A6" i="42"/>
  <c r="O5" i="42"/>
  <c r="N5" i="42"/>
  <c r="A5" i="42"/>
  <c r="O4" i="42"/>
  <c r="A4" i="42"/>
  <c r="A55" i="2"/>
  <c r="B1" i="41"/>
  <c r="O9" i="41"/>
  <c r="N9" i="41"/>
  <c r="A9" i="41"/>
  <c r="O8" i="41"/>
  <c r="N8" i="41"/>
  <c r="A8" i="41"/>
  <c r="O7" i="41"/>
  <c r="N7" i="41"/>
  <c r="O6" i="41"/>
  <c r="N6" i="41"/>
  <c r="A6" i="41"/>
  <c r="O5" i="41"/>
  <c r="N5" i="41"/>
  <c r="A5" i="41"/>
  <c r="O4" i="41"/>
  <c r="N4" i="41"/>
  <c r="A4" i="41"/>
  <c r="A54" i="2"/>
  <c r="B1" i="40"/>
  <c r="O24" i="40"/>
  <c r="N24" i="40"/>
  <c r="O23" i="40"/>
  <c r="N23" i="40"/>
  <c r="O22" i="40"/>
  <c r="N22" i="40"/>
  <c r="A22" i="40"/>
  <c r="O21" i="40"/>
  <c r="N21" i="40"/>
  <c r="A21" i="40"/>
  <c r="O20" i="40"/>
  <c r="N20" i="40"/>
  <c r="A20" i="40"/>
  <c r="O19" i="40"/>
  <c r="N19" i="40"/>
  <c r="A19" i="40"/>
  <c r="O18" i="40"/>
  <c r="N18" i="40"/>
  <c r="O17" i="40"/>
  <c r="N17" i="40"/>
  <c r="A17" i="40"/>
  <c r="O16" i="40"/>
  <c r="N16" i="40"/>
  <c r="A16" i="40"/>
  <c r="O15" i="40"/>
  <c r="N15" i="40"/>
  <c r="A15" i="40"/>
  <c r="O14" i="40"/>
  <c r="N14" i="40"/>
  <c r="O13" i="40"/>
  <c r="N13" i="40"/>
  <c r="O12" i="40"/>
  <c r="N12" i="40"/>
  <c r="O11" i="40"/>
  <c r="N11" i="40"/>
  <c r="O10" i="40"/>
  <c r="N10" i="40"/>
  <c r="O9" i="40"/>
  <c r="N9" i="40"/>
  <c r="A9" i="40"/>
  <c r="O8" i="40"/>
  <c r="A8" i="40"/>
  <c r="O7" i="40"/>
  <c r="A7" i="40"/>
  <c r="O6" i="40"/>
  <c r="N6" i="40"/>
  <c r="O5" i="40"/>
  <c r="N5" i="40"/>
  <c r="A5" i="40"/>
  <c r="O4" i="40"/>
  <c r="N4" i="40"/>
  <c r="A4" i="40"/>
  <c r="A53" i="2"/>
  <c r="B1" i="39"/>
  <c r="O5" i="39"/>
  <c r="N5" i="39"/>
  <c r="O4" i="39"/>
  <c r="N4" i="39"/>
  <c r="A52" i="2"/>
  <c r="B1" i="38"/>
  <c r="O12" i="38"/>
  <c r="O11" i="38"/>
  <c r="N11" i="38"/>
  <c r="O10" i="38"/>
  <c r="N10" i="38"/>
  <c r="O9" i="38"/>
  <c r="N9" i="38"/>
  <c r="O8" i="38"/>
  <c r="N8" i="38"/>
  <c r="A8" i="38"/>
  <c r="O7" i="38"/>
  <c r="N7" i="38"/>
  <c r="O6" i="38"/>
  <c r="O5" i="38"/>
  <c r="O4" i="38"/>
  <c r="N4" i="38"/>
  <c r="A4" i="38"/>
  <c r="A51" i="2"/>
  <c r="B1" i="37"/>
  <c r="O59" i="37"/>
  <c r="N59" i="37"/>
  <c r="A59" i="37"/>
  <c r="O58" i="37"/>
  <c r="N58" i="37"/>
  <c r="A58" i="37"/>
  <c r="O57" i="37"/>
  <c r="N57" i="37"/>
  <c r="A57" i="37"/>
  <c r="O56" i="37"/>
  <c r="N56" i="37"/>
  <c r="A56" i="37"/>
  <c r="O55" i="37"/>
  <c r="A55" i="37"/>
  <c r="O54" i="37"/>
  <c r="A54" i="37"/>
  <c r="O53" i="37"/>
  <c r="A53" i="37"/>
  <c r="O52" i="37"/>
  <c r="A52" i="37"/>
  <c r="O51" i="37"/>
  <c r="N51" i="37"/>
  <c r="A51" i="37"/>
  <c r="O50" i="37"/>
  <c r="A50" i="37"/>
  <c r="O49" i="37"/>
  <c r="N49" i="37"/>
  <c r="A49" i="37"/>
  <c r="O48" i="37"/>
  <c r="N48" i="37"/>
  <c r="A48" i="37"/>
  <c r="O47" i="37"/>
  <c r="A47" i="37"/>
  <c r="O46" i="37"/>
  <c r="N46" i="37"/>
  <c r="A46" i="37"/>
  <c r="O45" i="37"/>
  <c r="N45" i="37"/>
  <c r="A45" i="37"/>
  <c r="O44" i="37"/>
  <c r="N44" i="37"/>
  <c r="A44" i="37"/>
  <c r="O43" i="37"/>
  <c r="A43" i="37"/>
  <c r="O42" i="37"/>
  <c r="A42" i="37"/>
  <c r="O41" i="37"/>
  <c r="N41" i="37"/>
  <c r="O40" i="37"/>
  <c r="N40" i="37"/>
  <c r="A40" i="37"/>
  <c r="O39" i="37"/>
  <c r="O38" i="37"/>
  <c r="O37" i="37"/>
  <c r="O36" i="37"/>
  <c r="N36" i="37"/>
  <c r="A36" i="37"/>
  <c r="O35" i="37"/>
  <c r="N35" i="37"/>
  <c r="A35" i="37"/>
  <c r="O34" i="37"/>
  <c r="N34" i="37"/>
  <c r="O33" i="37"/>
  <c r="N33" i="37"/>
  <c r="O32" i="37"/>
  <c r="N32" i="37"/>
  <c r="A32" i="37"/>
  <c r="O31" i="37"/>
  <c r="A31" i="37"/>
  <c r="O30" i="37"/>
  <c r="N30" i="37"/>
  <c r="A30" i="37"/>
  <c r="O29" i="37"/>
  <c r="N29" i="37"/>
  <c r="A29" i="37"/>
  <c r="O28" i="37"/>
  <c r="N28" i="37"/>
  <c r="A28" i="37"/>
  <c r="O27" i="37"/>
  <c r="N27" i="37"/>
  <c r="A27" i="37"/>
  <c r="O26" i="37"/>
  <c r="N26" i="37"/>
  <c r="A26" i="37"/>
  <c r="O25" i="37"/>
  <c r="N25" i="37"/>
  <c r="A25" i="37"/>
  <c r="O24" i="37"/>
  <c r="N24" i="37"/>
  <c r="A24" i="37"/>
  <c r="O23" i="37"/>
  <c r="N23" i="37"/>
  <c r="O22" i="37"/>
  <c r="A22" i="37"/>
  <c r="O21" i="37"/>
  <c r="N21" i="37"/>
  <c r="O20" i="37"/>
  <c r="N20" i="37"/>
  <c r="A20" i="37"/>
  <c r="O19" i="37"/>
  <c r="N19" i="37"/>
  <c r="A19" i="37"/>
  <c r="O18" i="37"/>
  <c r="N18" i="37"/>
  <c r="O17" i="37"/>
  <c r="A17" i="37"/>
  <c r="O16" i="37"/>
  <c r="O15" i="37"/>
  <c r="O14" i="37"/>
  <c r="A14" i="37"/>
  <c r="O13" i="37"/>
  <c r="A13" i="37"/>
  <c r="O12" i="37"/>
  <c r="N12" i="37"/>
  <c r="O11" i="37"/>
  <c r="N11" i="37"/>
  <c r="A11" i="37"/>
  <c r="O10" i="37"/>
  <c r="N10" i="37"/>
  <c r="A10" i="37"/>
  <c r="O9" i="37"/>
  <c r="N9" i="37"/>
  <c r="A9" i="37"/>
  <c r="O8" i="37"/>
  <c r="N8" i="37"/>
  <c r="O7" i="37"/>
  <c r="N7" i="37"/>
  <c r="A7" i="37"/>
  <c r="O6" i="37"/>
  <c r="N6" i="37"/>
  <c r="A6" i="37"/>
  <c r="O5" i="37"/>
  <c r="N5" i="37"/>
  <c r="A5" i="37"/>
  <c r="O4" i="37"/>
  <c r="N4" i="37"/>
  <c r="A4" i="37"/>
  <c r="A50" i="2"/>
  <c r="B1" i="36"/>
  <c r="O11" i="36"/>
  <c r="N11" i="36"/>
  <c r="A11" i="36"/>
  <c r="O10" i="36"/>
  <c r="N10" i="36"/>
  <c r="A10" i="36"/>
  <c r="O9" i="36"/>
  <c r="N9" i="36"/>
  <c r="A9" i="36"/>
  <c r="O8" i="36"/>
  <c r="N8" i="36"/>
  <c r="A8" i="36"/>
  <c r="O7" i="36"/>
  <c r="N7" i="36"/>
  <c r="A7" i="36"/>
  <c r="O6" i="36"/>
  <c r="N6" i="36"/>
  <c r="A6" i="36"/>
  <c r="O5" i="36"/>
  <c r="N5" i="36"/>
  <c r="A5" i="36"/>
  <c r="O4" i="36"/>
  <c r="N4" i="36"/>
  <c r="A4" i="36"/>
  <c r="A49" i="2"/>
  <c r="B1" i="35"/>
  <c r="O11" i="35"/>
  <c r="N11" i="35"/>
  <c r="O10" i="35"/>
  <c r="N10" i="35"/>
  <c r="O9" i="35"/>
  <c r="N9" i="35"/>
  <c r="A9" i="35"/>
  <c r="O8" i="35"/>
  <c r="N8" i="35"/>
  <c r="A8" i="35"/>
  <c r="O7" i="35"/>
  <c r="N7" i="35"/>
  <c r="A7" i="35"/>
  <c r="O6" i="35"/>
  <c r="N6" i="35"/>
  <c r="A6" i="35"/>
  <c r="O5" i="35"/>
  <c r="N5" i="35"/>
  <c r="A5" i="35"/>
  <c r="O4" i="35"/>
  <c r="N4" i="35"/>
  <c r="A4" i="35"/>
  <c r="A48" i="2"/>
  <c r="B1" i="34"/>
  <c r="O15" i="34"/>
  <c r="N15" i="34"/>
  <c r="O14" i="34"/>
  <c r="A14" i="34"/>
  <c r="O13" i="34"/>
  <c r="N13" i="34"/>
  <c r="O12" i="34"/>
  <c r="N12" i="34"/>
  <c r="A12" i="34"/>
  <c r="O11" i="34"/>
  <c r="N11" i="34"/>
  <c r="O10" i="34"/>
  <c r="N10" i="34"/>
  <c r="A10" i="34"/>
  <c r="O9" i="34"/>
  <c r="N9" i="34"/>
  <c r="O8" i="34"/>
  <c r="N8" i="34"/>
  <c r="O7" i="34"/>
  <c r="N7" i="34"/>
  <c r="O6" i="34"/>
  <c r="O5" i="34"/>
  <c r="N5" i="34"/>
  <c r="O4" i="34"/>
  <c r="N4" i="34"/>
  <c r="A47" i="2"/>
  <c r="B1" i="33"/>
  <c r="O12" i="33"/>
  <c r="N12" i="33"/>
  <c r="O11" i="33"/>
  <c r="N11" i="33"/>
  <c r="O10" i="33"/>
  <c r="N10" i="33"/>
  <c r="O9" i="33"/>
  <c r="N9" i="33"/>
  <c r="A9" i="33"/>
  <c r="O8" i="33"/>
  <c r="N8" i="33"/>
  <c r="A8" i="33"/>
  <c r="O7" i="33"/>
  <c r="N7" i="33"/>
  <c r="O6" i="33"/>
  <c r="N6" i="33"/>
  <c r="O5" i="33"/>
  <c r="N5" i="33"/>
  <c r="O4" i="33"/>
  <c r="N4" i="33"/>
  <c r="A46" i="2"/>
  <c r="B1" i="32"/>
  <c r="O11" i="32"/>
  <c r="N11" i="32"/>
  <c r="A11" i="32"/>
  <c r="O10" i="32"/>
  <c r="N10" i="32"/>
  <c r="A10" i="32"/>
  <c r="O9" i="32"/>
  <c r="N9" i="32"/>
  <c r="A9" i="32"/>
  <c r="O8" i="32"/>
  <c r="N8" i="32"/>
  <c r="A8" i="32"/>
  <c r="O7" i="32"/>
  <c r="A7" i="32"/>
  <c r="O6" i="32"/>
  <c r="N6" i="32"/>
  <c r="A6" i="32"/>
  <c r="O5" i="32"/>
  <c r="N5" i="32"/>
  <c r="A5" i="32"/>
  <c r="O4" i="32"/>
  <c r="N4" i="32"/>
  <c r="A4" i="32"/>
  <c r="A45" i="2"/>
  <c r="B1" i="31"/>
  <c r="O15" i="31"/>
  <c r="N15" i="31"/>
  <c r="A15" i="31"/>
  <c r="O14" i="31"/>
  <c r="N14" i="31"/>
  <c r="A14" i="31"/>
  <c r="O13" i="31"/>
  <c r="N13" i="31"/>
  <c r="O12" i="31"/>
  <c r="N12" i="31"/>
  <c r="O11" i="31"/>
  <c r="N11" i="31"/>
  <c r="O10" i="31"/>
  <c r="N10" i="31"/>
  <c r="A10" i="31"/>
  <c r="O9" i="31"/>
  <c r="N9" i="31"/>
  <c r="A9" i="31"/>
  <c r="O8" i="31"/>
  <c r="N8" i="31"/>
  <c r="A8" i="31"/>
  <c r="O7" i="31"/>
  <c r="N7" i="31"/>
  <c r="A7" i="31"/>
  <c r="O6" i="31"/>
  <c r="N6" i="31"/>
  <c r="A6" i="31"/>
  <c r="O5" i="31"/>
  <c r="N5" i="31"/>
  <c r="O4" i="31"/>
  <c r="N4" i="31"/>
  <c r="A44" i="2"/>
  <c r="B1" i="30"/>
  <c r="O43" i="30"/>
  <c r="N43" i="30"/>
  <c r="O42" i="30"/>
  <c r="N42" i="30"/>
  <c r="O41" i="30"/>
  <c r="N41" i="30"/>
  <c r="O40" i="30"/>
  <c r="N40" i="30"/>
  <c r="O39" i="30"/>
  <c r="N39" i="30"/>
  <c r="O38" i="30"/>
  <c r="N38" i="30"/>
  <c r="A38" i="30"/>
  <c r="O37" i="30"/>
  <c r="A37" i="30"/>
  <c r="O36" i="30"/>
  <c r="N36" i="30"/>
  <c r="O35" i="30"/>
  <c r="N35" i="30"/>
  <c r="A35" i="30"/>
  <c r="O34" i="30"/>
  <c r="N34" i="30"/>
  <c r="A34" i="30"/>
  <c r="O33" i="30"/>
  <c r="N33" i="30"/>
  <c r="A33" i="30"/>
  <c r="O32" i="30"/>
  <c r="N32" i="30"/>
  <c r="A32" i="30"/>
  <c r="O31" i="30"/>
  <c r="N31" i="30"/>
  <c r="O30" i="30"/>
  <c r="N30" i="30"/>
  <c r="A30" i="30"/>
  <c r="O29" i="30"/>
  <c r="N29" i="30"/>
  <c r="A29" i="30"/>
  <c r="O28" i="30"/>
  <c r="N28" i="30"/>
  <c r="A28" i="30"/>
  <c r="O27" i="30"/>
  <c r="N27" i="30"/>
  <c r="A27" i="30"/>
  <c r="O26" i="30"/>
  <c r="N26" i="30"/>
  <c r="A26" i="30"/>
  <c r="O25" i="30"/>
  <c r="N25" i="30"/>
  <c r="A25" i="30"/>
  <c r="O24" i="30"/>
  <c r="N24" i="30"/>
  <c r="O23" i="30"/>
  <c r="N23" i="30"/>
  <c r="O22" i="30"/>
  <c r="N22" i="30"/>
  <c r="O21" i="30"/>
  <c r="N21" i="30"/>
  <c r="O20" i="30"/>
  <c r="N20" i="30"/>
  <c r="A20" i="30"/>
  <c r="O19" i="30"/>
  <c r="N19" i="30"/>
  <c r="A19" i="30"/>
  <c r="O18" i="30"/>
  <c r="N18" i="30"/>
  <c r="O17" i="30"/>
  <c r="N17" i="30"/>
  <c r="O16" i="30"/>
  <c r="N16" i="30"/>
  <c r="A16" i="30"/>
  <c r="O15" i="30"/>
  <c r="A15" i="30"/>
  <c r="O14" i="30"/>
  <c r="N14" i="30"/>
  <c r="O13" i="30"/>
  <c r="N13" i="30"/>
  <c r="O12" i="30"/>
  <c r="N12" i="30"/>
  <c r="O11" i="30"/>
  <c r="N11" i="30"/>
  <c r="A11" i="30"/>
  <c r="O10" i="30"/>
  <c r="N10" i="30"/>
  <c r="A10" i="30"/>
  <c r="O9" i="30"/>
  <c r="N9" i="30"/>
  <c r="A9" i="30"/>
  <c r="O8" i="30"/>
  <c r="N8" i="30"/>
  <c r="O7" i="30"/>
  <c r="N7" i="30"/>
  <c r="A7" i="30"/>
  <c r="O6" i="30"/>
  <c r="N6" i="30"/>
  <c r="A6" i="30"/>
  <c r="O5" i="30"/>
  <c r="O4" i="30"/>
  <c r="N4" i="30"/>
  <c r="A43" i="2"/>
  <c r="B1" i="29"/>
  <c r="O62" i="29"/>
  <c r="N62" i="29"/>
  <c r="A62" i="29"/>
  <c r="O61" i="29"/>
  <c r="N61" i="29"/>
  <c r="O60" i="29"/>
  <c r="N60" i="29"/>
  <c r="A60" i="29"/>
  <c r="O59" i="29"/>
  <c r="N59" i="29"/>
  <c r="A59" i="29"/>
  <c r="O58" i="29"/>
  <c r="N58" i="29"/>
  <c r="A58" i="29"/>
  <c r="O57" i="29"/>
  <c r="N57" i="29"/>
  <c r="A57" i="29"/>
  <c r="O56" i="29"/>
  <c r="N56" i="29"/>
  <c r="A56" i="29"/>
  <c r="O55" i="29"/>
  <c r="N55" i="29"/>
  <c r="A55" i="29"/>
  <c r="O54" i="29"/>
  <c r="N54" i="29"/>
  <c r="A54" i="29"/>
  <c r="O53" i="29"/>
  <c r="N53" i="29"/>
  <c r="A53" i="29"/>
  <c r="O52" i="29"/>
  <c r="N52" i="29"/>
  <c r="O51" i="29"/>
  <c r="N51" i="29"/>
  <c r="O50" i="29"/>
  <c r="N50" i="29"/>
  <c r="A50" i="29"/>
  <c r="O49" i="29"/>
  <c r="N49" i="29"/>
  <c r="A49" i="29"/>
  <c r="O48" i="29"/>
  <c r="N48" i="29"/>
  <c r="A48" i="29"/>
  <c r="O47" i="29"/>
  <c r="N47" i="29"/>
  <c r="A47" i="29"/>
  <c r="O46" i="29"/>
  <c r="N46" i="29"/>
  <c r="A46" i="29"/>
  <c r="O45" i="29"/>
  <c r="N45" i="29"/>
  <c r="O44" i="29"/>
  <c r="N44" i="29"/>
  <c r="O43" i="29"/>
  <c r="N43" i="29"/>
  <c r="O42" i="29"/>
  <c r="N42" i="29"/>
  <c r="A42" i="29"/>
  <c r="O41" i="29"/>
  <c r="N41" i="29"/>
  <c r="A41" i="29"/>
  <c r="O40" i="29"/>
  <c r="N40" i="29"/>
  <c r="A40" i="29"/>
  <c r="O39" i="29"/>
  <c r="N39" i="29"/>
  <c r="A39" i="29"/>
  <c r="O38" i="29"/>
  <c r="N38" i="29"/>
  <c r="A38" i="29"/>
  <c r="O37" i="29"/>
  <c r="N37" i="29"/>
  <c r="O36" i="29"/>
  <c r="N36" i="29"/>
  <c r="O35" i="29"/>
  <c r="N35" i="29"/>
  <c r="A35" i="29"/>
  <c r="O34" i="29"/>
  <c r="N34" i="29"/>
  <c r="O33" i="29"/>
  <c r="N33" i="29"/>
  <c r="A33" i="29"/>
  <c r="O32" i="29"/>
  <c r="N32" i="29"/>
  <c r="A32" i="29"/>
  <c r="O31" i="29"/>
  <c r="N31" i="29"/>
  <c r="A31" i="29"/>
  <c r="O30" i="29"/>
  <c r="N30" i="29"/>
  <c r="O29" i="29"/>
  <c r="N29" i="29"/>
  <c r="O28" i="29"/>
  <c r="N28" i="29"/>
  <c r="A28" i="29"/>
  <c r="O27" i="29"/>
  <c r="N27" i="29"/>
  <c r="A27" i="29"/>
  <c r="O26" i="29"/>
  <c r="N26" i="29"/>
  <c r="O25" i="29"/>
  <c r="N25" i="29"/>
  <c r="A25" i="29"/>
  <c r="O24" i="29"/>
  <c r="N24" i="29"/>
  <c r="A24" i="29"/>
  <c r="O23" i="29"/>
  <c r="N23" i="29"/>
  <c r="O22" i="29"/>
  <c r="N22" i="29"/>
  <c r="A22" i="29"/>
  <c r="O21" i="29"/>
  <c r="N21" i="29"/>
  <c r="A21" i="29"/>
  <c r="O20" i="29"/>
  <c r="N20" i="29"/>
  <c r="A20" i="29"/>
  <c r="O19" i="29"/>
  <c r="N19" i="29"/>
  <c r="O18" i="29"/>
  <c r="N18" i="29"/>
  <c r="O17" i="29"/>
  <c r="N17" i="29"/>
  <c r="A17" i="29"/>
  <c r="O16" i="29"/>
  <c r="N16" i="29"/>
  <c r="A16" i="29"/>
  <c r="O15" i="29"/>
  <c r="N15" i="29"/>
  <c r="O14" i="29"/>
  <c r="N14" i="29"/>
  <c r="A14" i="29"/>
  <c r="O13" i="29"/>
  <c r="N13" i="29"/>
  <c r="A13" i="29"/>
  <c r="O12" i="29"/>
  <c r="N12" i="29"/>
  <c r="A12" i="29"/>
  <c r="O11" i="29"/>
  <c r="N11" i="29"/>
  <c r="A11" i="29"/>
  <c r="O10" i="29"/>
  <c r="N10" i="29"/>
  <c r="A10" i="29"/>
  <c r="O9" i="29"/>
  <c r="N9" i="29"/>
  <c r="A9" i="29"/>
  <c r="O8" i="29"/>
  <c r="N8" i="29"/>
  <c r="O7" i="29"/>
  <c r="N7" i="29"/>
  <c r="A7" i="29"/>
  <c r="O6" i="29"/>
  <c r="N6" i="29"/>
  <c r="A6" i="29"/>
  <c r="O5" i="29"/>
  <c r="N5" i="29"/>
  <c r="O4" i="29"/>
  <c r="N4" i="29"/>
  <c r="A42" i="2"/>
  <c r="B1" i="28"/>
  <c r="O4" i="28"/>
  <c r="N4" i="28"/>
  <c r="A4" i="28"/>
  <c r="A41" i="2"/>
  <c r="B1" i="27"/>
  <c r="O44" i="27"/>
  <c r="N44" i="27"/>
  <c r="A44" i="27"/>
  <c r="O43" i="27"/>
  <c r="N43" i="27"/>
  <c r="A43" i="27"/>
  <c r="O42" i="27"/>
  <c r="N42" i="27"/>
  <c r="A42" i="27"/>
  <c r="O41" i="27"/>
  <c r="N41" i="27"/>
  <c r="A41" i="27"/>
  <c r="O40" i="27"/>
  <c r="N40" i="27"/>
  <c r="O39" i="27"/>
  <c r="N39" i="27"/>
  <c r="O38" i="27"/>
  <c r="N38" i="27"/>
  <c r="O37" i="27"/>
  <c r="O36" i="27"/>
  <c r="N36" i="27"/>
  <c r="O35" i="27"/>
  <c r="N35" i="27"/>
  <c r="O34" i="27"/>
  <c r="N34" i="27"/>
  <c r="O33" i="27"/>
  <c r="N33" i="27"/>
  <c r="O32" i="27"/>
  <c r="N32" i="27"/>
  <c r="O31" i="27"/>
  <c r="N31" i="27"/>
  <c r="O30" i="27"/>
  <c r="N30" i="27"/>
  <c r="A30" i="27"/>
  <c r="O29" i="27"/>
  <c r="N29" i="27"/>
  <c r="A29" i="27"/>
  <c r="O28" i="27"/>
  <c r="N28" i="27"/>
  <c r="A28" i="27"/>
  <c r="O27" i="27"/>
  <c r="N27" i="27"/>
  <c r="A27" i="27"/>
  <c r="O26" i="27"/>
  <c r="O25" i="27"/>
  <c r="O24" i="27"/>
  <c r="O23" i="27"/>
  <c r="O22" i="27"/>
  <c r="N22" i="27"/>
  <c r="O21" i="27"/>
  <c r="N21" i="27"/>
  <c r="O20" i="27"/>
  <c r="N20" i="27"/>
  <c r="O19" i="27"/>
  <c r="N19" i="27"/>
  <c r="A19" i="27"/>
  <c r="O18" i="27"/>
  <c r="O17" i="27"/>
  <c r="N17" i="27"/>
  <c r="O16" i="27"/>
  <c r="N16" i="27"/>
  <c r="O15" i="27"/>
  <c r="N15" i="27"/>
  <c r="O14" i="27"/>
  <c r="O13" i="27"/>
  <c r="N13" i="27"/>
  <c r="O12" i="27"/>
  <c r="A12" i="27"/>
  <c r="O11" i="27"/>
  <c r="A11" i="27"/>
  <c r="O10" i="27"/>
  <c r="A10" i="27"/>
  <c r="O9" i="27"/>
  <c r="A9" i="27"/>
  <c r="O8" i="27"/>
  <c r="A8" i="27"/>
  <c r="O7" i="27"/>
  <c r="A7" i="27"/>
  <c r="O6" i="27"/>
  <c r="O5" i="27"/>
  <c r="A5" i="27"/>
  <c r="O4" i="27"/>
  <c r="A4" i="27"/>
  <c r="A40" i="2"/>
  <c r="B1" i="26"/>
  <c r="O46" i="26"/>
  <c r="O45" i="26"/>
  <c r="O44" i="26"/>
  <c r="O43" i="26"/>
  <c r="A43" i="26"/>
  <c r="O42" i="26"/>
  <c r="A42" i="26"/>
  <c r="O41" i="26"/>
  <c r="O40" i="26"/>
  <c r="O39" i="26"/>
  <c r="N39" i="26"/>
  <c r="O38" i="26"/>
  <c r="N38" i="26"/>
  <c r="O37" i="26"/>
  <c r="N37" i="26"/>
  <c r="O36" i="26"/>
  <c r="N36" i="26"/>
  <c r="A36" i="26"/>
  <c r="O35" i="26"/>
  <c r="N35" i="26"/>
  <c r="O34" i="26"/>
  <c r="A34" i="26"/>
  <c r="O33" i="26"/>
  <c r="A33" i="26"/>
  <c r="O32" i="26"/>
  <c r="A32" i="26"/>
  <c r="O31" i="26"/>
  <c r="N31" i="26"/>
  <c r="O30" i="26"/>
  <c r="N30" i="26"/>
  <c r="O29" i="26"/>
  <c r="O28" i="26"/>
  <c r="O27" i="26"/>
  <c r="N27" i="26"/>
  <c r="O26" i="26"/>
  <c r="N26" i="26"/>
  <c r="O25" i="26"/>
  <c r="O24" i="26"/>
  <c r="O23" i="26"/>
  <c r="O22" i="26"/>
  <c r="N22" i="26"/>
  <c r="O21" i="26"/>
  <c r="N21" i="26"/>
  <c r="O20" i="26"/>
  <c r="N20" i="26"/>
  <c r="O19" i="26"/>
  <c r="O18" i="26"/>
  <c r="O17" i="26"/>
  <c r="O16" i="26"/>
  <c r="N16" i="26"/>
  <c r="O15" i="26"/>
  <c r="O14" i="26"/>
  <c r="O13" i="26"/>
  <c r="O12" i="26"/>
  <c r="N12" i="26"/>
  <c r="A12" i="26"/>
  <c r="O11" i="26"/>
  <c r="N11" i="26"/>
  <c r="A11" i="26"/>
  <c r="O10" i="26"/>
  <c r="N10" i="26"/>
  <c r="A10" i="26"/>
  <c r="O9" i="26"/>
  <c r="N9" i="26"/>
  <c r="A9" i="26"/>
  <c r="O8" i="26"/>
  <c r="N8" i="26"/>
  <c r="A8" i="26"/>
  <c r="O7" i="26"/>
  <c r="N7" i="26"/>
  <c r="A7" i="26"/>
  <c r="O6" i="26"/>
  <c r="N6" i="26"/>
  <c r="O5" i="26"/>
  <c r="N5" i="26"/>
  <c r="O4" i="26"/>
  <c r="A39" i="2"/>
  <c r="B1" i="25"/>
  <c r="O107" i="25"/>
  <c r="N107" i="25"/>
  <c r="A107" i="25"/>
  <c r="O106" i="25"/>
  <c r="N106" i="25"/>
  <c r="O105" i="25"/>
  <c r="A105" i="25"/>
  <c r="O104" i="25"/>
  <c r="N104" i="25"/>
  <c r="O103" i="25"/>
  <c r="N103" i="25"/>
  <c r="O102" i="25"/>
  <c r="N102" i="25"/>
  <c r="A102" i="25"/>
  <c r="O101" i="25"/>
  <c r="N101" i="25"/>
  <c r="O100" i="25"/>
  <c r="A100" i="25"/>
  <c r="O99" i="25"/>
  <c r="O98" i="25"/>
  <c r="N98" i="25"/>
  <c r="O97" i="25"/>
  <c r="N97" i="25"/>
  <c r="O96" i="25"/>
  <c r="N96" i="25"/>
  <c r="A96" i="25"/>
  <c r="O95" i="25"/>
  <c r="A95" i="25"/>
  <c r="O94" i="25"/>
  <c r="N94" i="25"/>
  <c r="O93" i="25"/>
  <c r="N93" i="25"/>
  <c r="A93" i="25"/>
  <c r="O92" i="25"/>
  <c r="A92" i="25"/>
  <c r="O91" i="25"/>
  <c r="A91" i="25"/>
  <c r="O90" i="25"/>
  <c r="N90" i="25"/>
  <c r="A90" i="25"/>
  <c r="O89" i="25"/>
  <c r="N89" i="25"/>
  <c r="O88" i="25"/>
  <c r="N88" i="25"/>
  <c r="O87" i="25"/>
  <c r="N87" i="25"/>
  <c r="O86" i="25"/>
  <c r="N86" i="25"/>
  <c r="A86" i="25"/>
  <c r="O85" i="25"/>
  <c r="N85" i="25"/>
  <c r="A85" i="25"/>
  <c r="O84" i="25"/>
  <c r="N84" i="25"/>
  <c r="O83" i="25"/>
  <c r="O82" i="25"/>
  <c r="O81" i="25"/>
  <c r="A81" i="25"/>
  <c r="O80" i="25"/>
  <c r="A80" i="25"/>
  <c r="O79" i="25"/>
  <c r="N79" i="25"/>
  <c r="O78" i="25"/>
  <c r="N78" i="25"/>
  <c r="O77" i="25"/>
  <c r="N77" i="25"/>
  <c r="A77" i="25"/>
  <c r="O76" i="25"/>
  <c r="N76" i="25"/>
  <c r="A76" i="25"/>
  <c r="O75" i="25"/>
  <c r="N75" i="25"/>
  <c r="A75" i="25"/>
  <c r="O74" i="25"/>
  <c r="N74" i="25"/>
  <c r="O73" i="25"/>
  <c r="N73" i="25"/>
  <c r="A73" i="25"/>
  <c r="O72" i="25"/>
  <c r="N72" i="25"/>
  <c r="A72" i="25"/>
  <c r="O71" i="25"/>
  <c r="N71" i="25"/>
  <c r="A71" i="25"/>
  <c r="O70" i="25"/>
  <c r="A70" i="25"/>
  <c r="O69" i="25"/>
  <c r="N69" i="25"/>
  <c r="O68" i="25"/>
  <c r="A68" i="25"/>
  <c r="O67" i="25"/>
  <c r="A67" i="25"/>
  <c r="O66" i="25"/>
  <c r="N66" i="25"/>
  <c r="A66" i="25"/>
  <c r="O65" i="25"/>
  <c r="A65" i="25"/>
  <c r="O64" i="25"/>
  <c r="A64" i="25"/>
  <c r="O63" i="25"/>
  <c r="N63" i="25"/>
  <c r="O62" i="25"/>
  <c r="O61" i="25"/>
  <c r="N61" i="25"/>
  <c r="A61" i="25"/>
  <c r="O60" i="25"/>
  <c r="N60" i="25"/>
  <c r="A60" i="25"/>
  <c r="O59" i="25"/>
  <c r="N59" i="25"/>
  <c r="O58" i="25"/>
  <c r="O57" i="25"/>
  <c r="A57" i="25"/>
  <c r="O56" i="25"/>
  <c r="N56" i="25"/>
  <c r="O55" i="25"/>
  <c r="N55" i="25"/>
  <c r="O54" i="25"/>
  <c r="A54" i="25"/>
  <c r="O53" i="25"/>
  <c r="N53" i="25"/>
  <c r="A53" i="25"/>
  <c r="O52" i="25"/>
  <c r="N52" i="25"/>
  <c r="A52" i="25"/>
  <c r="O51" i="25"/>
  <c r="N51" i="25"/>
  <c r="A51" i="25"/>
  <c r="O50" i="25"/>
  <c r="N50" i="25"/>
  <c r="O49" i="25"/>
  <c r="A49" i="25"/>
  <c r="O48" i="25"/>
  <c r="N48" i="25"/>
  <c r="O47" i="25"/>
  <c r="A47" i="25"/>
  <c r="O46" i="25"/>
  <c r="A46" i="25"/>
  <c r="O45" i="25"/>
  <c r="A45" i="25"/>
  <c r="O44" i="25"/>
  <c r="N44" i="25"/>
  <c r="A44" i="25"/>
  <c r="O43" i="25"/>
  <c r="A43" i="25"/>
  <c r="O42" i="25"/>
  <c r="N42" i="25"/>
  <c r="O41" i="25"/>
  <c r="O40" i="25"/>
  <c r="O39" i="25"/>
  <c r="N39" i="25"/>
  <c r="O38" i="25"/>
  <c r="N38" i="25"/>
  <c r="O37" i="25"/>
  <c r="N37" i="25"/>
  <c r="O36" i="25"/>
  <c r="N36" i="25"/>
  <c r="O35" i="25"/>
  <c r="N35" i="25"/>
  <c r="A35" i="25"/>
  <c r="O34" i="25"/>
  <c r="N34" i="25"/>
  <c r="O33" i="25"/>
  <c r="A33" i="25"/>
  <c r="O32" i="25"/>
  <c r="A32" i="25"/>
  <c r="O31" i="25"/>
  <c r="N31" i="25"/>
  <c r="A31" i="25"/>
  <c r="O30" i="25"/>
  <c r="A30" i="25"/>
  <c r="O29" i="25"/>
  <c r="N29" i="25"/>
  <c r="A29" i="25"/>
  <c r="O28" i="25"/>
  <c r="A28" i="25"/>
  <c r="O27" i="25"/>
  <c r="A27" i="25"/>
  <c r="O26" i="25"/>
  <c r="A26" i="25"/>
  <c r="O25" i="25"/>
  <c r="N25" i="25"/>
  <c r="A25" i="25"/>
  <c r="O24" i="25"/>
  <c r="N24" i="25"/>
  <c r="A24" i="25"/>
  <c r="O23" i="25"/>
  <c r="N23" i="25"/>
  <c r="O22" i="25"/>
  <c r="N22" i="25"/>
  <c r="A22" i="25"/>
  <c r="O21" i="25"/>
  <c r="N21" i="25"/>
  <c r="A21" i="25"/>
  <c r="O20" i="25"/>
  <c r="A20" i="25"/>
  <c r="O19" i="25"/>
  <c r="A19" i="25"/>
  <c r="O18" i="25"/>
  <c r="N18" i="25"/>
  <c r="O17" i="25"/>
  <c r="N17" i="25"/>
  <c r="O16" i="25"/>
  <c r="N16" i="25"/>
  <c r="O15" i="25"/>
  <c r="N15" i="25"/>
  <c r="O14" i="25"/>
  <c r="N14" i="25"/>
  <c r="O13" i="25"/>
  <c r="N13" i="25"/>
  <c r="O12" i="25"/>
  <c r="N12" i="25"/>
  <c r="A12" i="25"/>
  <c r="O11" i="25"/>
  <c r="A11" i="25"/>
  <c r="O10" i="25"/>
  <c r="A10" i="25"/>
  <c r="O9" i="25"/>
  <c r="N9" i="25"/>
  <c r="O8" i="25"/>
  <c r="N8" i="25"/>
  <c r="O7" i="25"/>
  <c r="N7" i="25"/>
  <c r="A7" i="25"/>
  <c r="O6" i="25"/>
  <c r="N6" i="25"/>
  <c r="O5" i="25"/>
  <c r="N5" i="25"/>
  <c r="A5" i="25"/>
  <c r="O4" i="25"/>
  <c r="A38" i="2"/>
  <c r="B1" i="24"/>
  <c r="O13" i="24"/>
  <c r="N13" i="24"/>
  <c r="A13" i="24"/>
  <c r="O12" i="24"/>
  <c r="N12" i="24"/>
  <c r="A12" i="24"/>
  <c r="O11" i="24"/>
  <c r="N11" i="24"/>
  <c r="A11" i="24"/>
  <c r="O10" i="24"/>
  <c r="N10" i="24"/>
  <c r="O9" i="24"/>
  <c r="A9" i="24"/>
  <c r="O8" i="24"/>
  <c r="N8" i="24"/>
  <c r="A8" i="24"/>
  <c r="O7" i="24"/>
  <c r="N7" i="24"/>
  <c r="A7" i="24"/>
  <c r="O6" i="24"/>
  <c r="N6" i="24"/>
  <c r="A6" i="24"/>
  <c r="O5" i="24"/>
  <c r="A5" i="24"/>
  <c r="O4" i="24"/>
  <c r="N4" i="24"/>
  <c r="A4" i="24"/>
  <c r="A37" i="2"/>
  <c r="B1" i="23"/>
  <c r="O5" i="23"/>
  <c r="N5" i="23"/>
  <c r="A5" i="23"/>
  <c r="O4" i="23"/>
  <c r="N4" i="23"/>
  <c r="A4" i="23"/>
  <c r="A36" i="2"/>
  <c r="B1" i="22"/>
  <c r="O4" i="22"/>
  <c r="N4" i="22"/>
  <c r="A4" i="22"/>
  <c r="A35" i="2"/>
  <c r="B1" i="21"/>
  <c r="O10" i="21"/>
  <c r="N10" i="21"/>
  <c r="O9" i="21"/>
  <c r="N9" i="21"/>
  <c r="O8" i="21"/>
  <c r="N8" i="21"/>
  <c r="O7" i="21"/>
  <c r="N7" i="21"/>
  <c r="O6" i="21"/>
  <c r="N6" i="21"/>
  <c r="A6" i="21"/>
  <c r="O5" i="21"/>
  <c r="N5" i="21"/>
  <c r="O4" i="21"/>
  <c r="N4" i="21"/>
  <c r="A34" i="2"/>
  <c r="B1" i="20"/>
  <c r="O5" i="20"/>
  <c r="N5" i="20"/>
  <c r="O4" i="20"/>
  <c r="N4" i="20"/>
  <c r="A33" i="2"/>
  <c r="B1" i="19"/>
  <c r="O30" i="19"/>
  <c r="N30" i="19"/>
  <c r="A30" i="19"/>
  <c r="O29" i="19"/>
  <c r="N29" i="19"/>
  <c r="A29" i="19"/>
  <c r="O28" i="19"/>
  <c r="N28" i="19"/>
  <c r="A28" i="19"/>
  <c r="O27" i="19"/>
  <c r="N27" i="19"/>
  <c r="A27" i="19"/>
  <c r="O26" i="19"/>
  <c r="N26" i="19"/>
  <c r="O25" i="19"/>
  <c r="N25" i="19"/>
  <c r="A25" i="19"/>
  <c r="O24" i="19"/>
  <c r="N24" i="19"/>
  <c r="A24" i="19"/>
  <c r="O23" i="19"/>
  <c r="N23" i="19"/>
  <c r="O22" i="19"/>
  <c r="N22" i="19"/>
  <c r="A22" i="19"/>
  <c r="O21" i="19"/>
  <c r="N21" i="19"/>
  <c r="A21" i="19"/>
  <c r="O20" i="19"/>
  <c r="N20" i="19"/>
  <c r="A20" i="19"/>
  <c r="O19" i="19"/>
  <c r="N19" i="19"/>
  <c r="O18" i="19"/>
  <c r="N18" i="19"/>
  <c r="O17" i="19"/>
  <c r="N17" i="19"/>
  <c r="A17" i="19"/>
  <c r="O16" i="19"/>
  <c r="N16" i="19"/>
  <c r="A16" i="19"/>
  <c r="O15" i="19"/>
  <c r="N15" i="19"/>
  <c r="A15" i="19"/>
  <c r="O14" i="19"/>
  <c r="N14" i="19"/>
  <c r="A14" i="19"/>
  <c r="O13" i="19"/>
  <c r="N13" i="19"/>
  <c r="A13" i="19"/>
  <c r="O12" i="19"/>
  <c r="N12" i="19"/>
  <c r="A12" i="19"/>
  <c r="O11" i="19"/>
  <c r="N11" i="19"/>
  <c r="A11" i="19"/>
  <c r="O10" i="19"/>
  <c r="N10" i="19"/>
  <c r="A10" i="19"/>
  <c r="O9" i="19"/>
  <c r="N9" i="19"/>
  <c r="A9" i="19"/>
  <c r="O8" i="19"/>
  <c r="N8" i="19"/>
  <c r="O7" i="19"/>
  <c r="N7" i="19"/>
  <c r="O6" i="19"/>
  <c r="N6" i="19"/>
  <c r="A6" i="19"/>
  <c r="O5" i="19"/>
  <c r="N5" i="19"/>
  <c r="A5" i="19"/>
  <c r="O4" i="19"/>
  <c r="N4" i="19"/>
  <c r="A4" i="19"/>
  <c r="A32" i="2"/>
  <c r="B1" i="18"/>
  <c r="O15" i="18"/>
  <c r="N15" i="18"/>
  <c r="A15" i="18"/>
  <c r="O14" i="18"/>
  <c r="N14" i="18"/>
  <c r="A14" i="18"/>
  <c r="O13" i="18"/>
  <c r="N13" i="18"/>
  <c r="A13" i="18"/>
  <c r="O12" i="18"/>
  <c r="N12" i="18"/>
  <c r="A12" i="18"/>
  <c r="O11" i="18"/>
  <c r="N11" i="18"/>
  <c r="A11" i="18"/>
  <c r="O10" i="18"/>
  <c r="N10" i="18"/>
  <c r="A10" i="18"/>
  <c r="O9" i="18"/>
  <c r="A9" i="18"/>
  <c r="O8" i="18"/>
  <c r="A8" i="18"/>
  <c r="O7" i="18"/>
  <c r="N7" i="18"/>
  <c r="A7" i="18"/>
  <c r="O6" i="18"/>
  <c r="N6" i="18"/>
  <c r="A6" i="18"/>
  <c r="O5" i="18"/>
  <c r="N5" i="18"/>
  <c r="O4" i="18"/>
  <c r="N4" i="18"/>
  <c r="A4" i="18"/>
  <c r="A31" i="2"/>
  <c r="B1" i="17"/>
  <c r="O49" i="17"/>
  <c r="O48" i="17"/>
  <c r="N48" i="17"/>
  <c r="O47" i="17"/>
  <c r="N47" i="17"/>
  <c r="O46" i="17"/>
  <c r="N46" i="17"/>
  <c r="A46" i="17"/>
  <c r="O45" i="17"/>
  <c r="N45" i="17"/>
  <c r="A45" i="17"/>
  <c r="O44" i="17"/>
  <c r="N44" i="17"/>
  <c r="A44" i="17"/>
  <c r="O43" i="17"/>
  <c r="A43" i="17"/>
  <c r="O42" i="17"/>
  <c r="N42" i="17"/>
  <c r="O41" i="17"/>
  <c r="A41" i="17"/>
  <c r="O40" i="17"/>
  <c r="O39" i="17"/>
  <c r="N39" i="17"/>
  <c r="A39" i="17"/>
  <c r="O38" i="17"/>
  <c r="N38" i="17"/>
  <c r="O37" i="17"/>
  <c r="N37" i="17"/>
  <c r="O36" i="17"/>
  <c r="N36" i="17"/>
  <c r="O35" i="17"/>
  <c r="N35" i="17"/>
  <c r="O34" i="17"/>
  <c r="N34" i="17"/>
  <c r="O33" i="17"/>
  <c r="O32" i="17"/>
  <c r="N32" i="17"/>
  <c r="O31" i="17"/>
  <c r="N31" i="17"/>
  <c r="O30" i="17"/>
  <c r="A30" i="17"/>
  <c r="O29" i="17"/>
  <c r="N29" i="17"/>
  <c r="O28" i="17"/>
  <c r="N28" i="17"/>
  <c r="O27" i="17"/>
  <c r="N27" i="17"/>
  <c r="O26" i="17"/>
  <c r="N26" i="17"/>
  <c r="O25" i="17"/>
  <c r="N25" i="17"/>
  <c r="O24" i="17"/>
  <c r="A24" i="17"/>
  <c r="O23" i="17"/>
  <c r="A23" i="17"/>
  <c r="O22" i="17"/>
  <c r="N22" i="17"/>
  <c r="O21" i="17"/>
  <c r="N21" i="17"/>
  <c r="A21" i="17"/>
  <c r="O20" i="17"/>
  <c r="N20" i="17"/>
  <c r="A20" i="17"/>
  <c r="O19" i="17"/>
  <c r="N19" i="17"/>
  <c r="O18" i="17"/>
  <c r="O17" i="17"/>
  <c r="N17" i="17"/>
  <c r="A17" i="17"/>
  <c r="O16" i="17"/>
  <c r="A16" i="17"/>
  <c r="O15" i="17"/>
  <c r="O14" i="17"/>
  <c r="N14" i="17"/>
  <c r="O13" i="17"/>
  <c r="N13" i="17"/>
  <c r="O12" i="17"/>
  <c r="O11" i="17"/>
  <c r="A11" i="17"/>
  <c r="O10" i="17"/>
  <c r="N10" i="17"/>
  <c r="O9" i="17"/>
  <c r="N9" i="17"/>
  <c r="O8" i="17"/>
  <c r="O7" i="17"/>
  <c r="O6" i="17"/>
  <c r="O5" i="17"/>
  <c r="N5" i="17"/>
  <c r="A5" i="17"/>
  <c r="O4" i="17"/>
  <c r="N4" i="17"/>
  <c r="A30" i="2"/>
  <c r="B1" i="16"/>
  <c r="O18" i="16"/>
  <c r="N18" i="16"/>
  <c r="A18" i="16"/>
  <c r="O17" i="16"/>
  <c r="A17" i="16"/>
  <c r="O16" i="16"/>
  <c r="N16" i="16"/>
  <c r="A16" i="16"/>
  <c r="O15" i="16"/>
  <c r="N15" i="16"/>
  <c r="A15" i="16"/>
  <c r="O14" i="16"/>
  <c r="N14" i="16"/>
  <c r="A14" i="16"/>
  <c r="O13" i="16"/>
  <c r="N13" i="16"/>
  <c r="A13" i="16"/>
  <c r="O12" i="16"/>
  <c r="N12" i="16"/>
  <c r="A12" i="16"/>
  <c r="O11" i="16"/>
  <c r="A11" i="16"/>
  <c r="O10" i="16"/>
  <c r="N10" i="16"/>
  <c r="A10" i="16"/>
  <c r="O9" i="16"/>
  <c r="N9" i="16"/>
  <c r="A9" i="16"/>
  <c r="O8" i="16"/>
  <c r="N8" i="16"/>
  <c r="A8" i="16"/>
  <c r="O7" i="16"/>
  <c r="N7" i="16"/>
  <c r="A7" i="16"/>
  <c r="O6" i="16"/>
  <c r="N6" i="16"/>
  <c r="A6" i="16"/>
  <c r="O5" i="16"/>
  <c r="N5" i="16"/>
  <c r="A5" i="16"/>
  <c r="O4" i="16"/>
  <c r="N4" i="16"/>
  <c r="A4" i="16"/>
  <c r="A29" i="2"/>
  <c r="B1" i="15"/>
  <c r="O12" i="15"/>
  <c r="N12" i="15"/>
  <c r="A12" i="15"/>
  <c r="O11" i="15"/>
  <c r="N11" i="15"/>
  <c r="A11" i="15"/>
  <c r="O10" i="15"/>
  <c r="N10" i="15"/>
  <c r="A10" i="15"/>
  <c r="O9" i="15"/>
  <c r="N9" i="15"/>
  <c r="A9" i="15"/>
  <c r="O8" i="15"/>
  <c r="N8" i="15"/>
  <c r="O7" i="15"/>
  <c r="N7" i="15"/>
  <c r="O6" i="15"/>
  <c r="N6" i="15"/>
  <c r="O5" i="15"/>
  <c r="N5" i="15"/>
  <c r="A5" i="15"/>
  <c r="O4" i="15"/>
  <c r="N4" i="15"/>
  <c r="A4" i="15"/>
  <c r="A28" i="2"/>
  <c r="B1" i="14"/>
  <c r="O4" i="14"/>
  <c r="N4" i="14"/>
  <c r="A27" i="2"/>
  <c r="B1" i="13"/>
  <c r="O119" i="13"/>
  <c r="N119" i="13"/>
  <c r="A119" i="13"/>
  <c r="O118" i="13"/>
  <c r="N118" i="13"/>
  <c r="A118" i="13"/>
  <c r="O117" i="13"/>
  <c r="N117" i="13"/>
  <c r="O116" i="13"/>
  <c r="N116" i="13"/>
  <c r="A116" i="13"/>
  <c r="O115" i="13"/>
  <c r="N115" i="13"/>
  <c r="A115" i="13"/>
  <c r="O114" i="13"/>
  <c r="N114" i="13"/>
  <c r="A114" i="13"/>
  <c r="O113" i="13"/>
  <c r="N113" i="13"/>
  <c r="A113" i="13"/>
  <c r="O112" i="13"/>
  <c r="N112" i="13"/>
  <c r="A112" i="13"/>
  <c r="O111" i="13"/>
  <c r="N111" i="13"/>
  <c r="A111" i="13"/>
  <c r="O110" i="13"/>
  <c r="A110" i="13"/>
  <c r="O109" i="13"/>
  <c r="N109" i="13"/>
  <c r="A109" i="13"/>
  <c r="O108" i="13"/>
  <c r="A108" i="13"/>
  <c r="O107" i="13"/>
  <c r="A107" i="13"/>
  <c r="O106" i="13"/>
  <c r="A106" i="13"/>
  <c r="O105" i="13"/>
  <c r="N105" i="13"/>
  <c r="A105" i="13"/>
  <c r="O104" i="13"/>
  <c r="A104" i="13"/>
  <c r="O103" i="13"/>
  <c r="A103" i="13"/>
  <c r="O102" i="13"/>
  <c r="A102" i="13"/>
  <c r="O101" i="13"/>
  <c r="N101" i="13"/>
  <c r="A101" i="13"/>
  <c r="O100" i="13"/>
  <c r="N100" i="13"/>
  <c r="O99" i="13"/>
  <c r="N99" i="13"/>
  <c r="O98" i="13"/>
  <c r="N98" i="13"/>
  <c r="A98" i="13"/>
  <c r="O97" i="13"/>
  <c r="N97" i="13"/>
  <c r="A97" i="13"/>
  <c r="O96" i="13"/>
  <c r="N96" i="13"/>
  <c r="A96" i="13"/>
  <c r="O95" i="13"/>
  <c r="N95" i="13"/>
  <c r="A95" i="13"/>
  <c r="O94" i="13"/>
  <c r="N94" i="13"/>
  <c r="A94" i="13"/>
  <c r="O93" i="13"/>
  <c r="N93" i="13"/>
  <c r="A93" i="13"/>
  <c r="O92" i="13"/>
  <c r="N92" i="13"/>
  <c r="A92" i="13"/>
  <c r="O91" i="13"/>
  <c r="A91" i="13"/>
  <c r="O90" i="13"/>
  <c r="A90" i="13"/>
  <c r="O89" i="13"/>
  <c r="A89" i="13"/>
  <c r="O88" i="13"/>
  <c r="N88" i="13"/>
  <c r="A88" i="13"/>
  <c r="O87" i="13"/>
  <c r="N87" i="13"/>
  <c r="A87" i="13"/>
  <c r="O86" i="13"/>
  <c r="N86" i="13"/>
  <c r="O85" i="13"/>
  <c r="N85" i="13"/>
  <c r="A85" i="13"/>
  <c r="O84" i="13"/>
  <c r="A84" i="13"/>
  <c r="O83" i="13"/>
  <c r="N83" i="13"/>
  <c r="A83" i="13"/>
  <c r="O82" i="13"/>
  <c r="N82" i="13"/>
  <c r="A82" i="13"/>
  <c r="O81" i="13"/>
  <c r="N81" i="13"/>
  <c r="A81" i="13"/>
  <c r="O80" i="13"/>
  <c r="N80" i="13"/>
  <c r="A80" i="13"/>
  <c r="O79" i="13"/>
  <c r="N79" i="13"/>
  <c r="A79" i="13"/>
  <c r="O78" i="13"/>
  <c r="A78" i="13"/>
  <c r="O77" i="13"/>
  <c r="A77" i="13"/>
  <c r="O76" i="13"/>
  <c r="N76" i="13"/>
  <c r="A76" i="13"/>
  <c r="O75" i="13"/>
  <c r="N75" i="13"/>
  <c r="A75" i="13"/>
  <c r="O74" i="13"/>
  <c r="N74" i="13"/>
  <c r="O73" i="13"/>
  <c r="N73" i="13"/>
  <c r="A73" i="13"/>
  <c r="O72" i="13"/>
  <c r="N72" i="13"/>
  <c r="A72" i="13"/>
  <c r="O71" i="13"/>
  <c r="N71" i="13"/>
  <c r="A71" i="13"/>
  <c r="O70" i="13"/>
  <c r="N70" i="13"/>
  <c r="A70" i="13"/>
  <c r="O69" i="13"/>
  <c r="N69" i="13"/>
  <c r="A69" i="13"/>
  <c r="O68" i="13"/>
  <c r="N68" i="13"/>
  <c r="O67" i="13"/>
  <c r="N67" i="13"/>
  <c r="O66" i="13"/>
  <c r="N66" i="13"/>
  <c r="A66" i="13"/>
  <c r="O65" i="13"/>
  <c r="N65" i="13"/>
  <c r="A65" i="13"/>
  <c r="O64" i="13"/>
  <c r="N64" i="13"/>
  <c r="A64" i="13"/>
  <c r="O63" i="13"/>
  <c r="A63" i="13"/>
  <c r="O62" i="13"/>
  <c r="A62" i="13"/>
  <c r="O61" i="13"/>
  <c r="A61" i="13"/>
  <c r="O60" i="13"/>
  <c r="N60" i="13"/>
  <c r="O59" i="13"/>
  <c r="N59" i="13"/>
  <c r="A59" i="13"/>
  <c r="O58" i="13"/>
  <c r="N58" i="13"/>
  <c r="A58" i="13"/>
  <c r="O57" i="13"/>
  <c r="A57" i="13"/>
  <c r="O56" i="13"/>
  <c r="N56" i="13"/>
  <c r="A56" i="13"/>
  <c r="O55" i="13"/>
  <c r="N55" i="13"/>
  <c r="A55" i="13"/>
  <c r="O54" i="13"/>
  <c r="N54" i="13"/>
  <c r="A54" i="13"/>
  <c r="O53" i="13"/>
  <c r="N53" i="13"/>
  <c r="A53" i="13"/>
  <c r="O52" i="13"/>
  <c r="N52" i="13"/>
  <c r="A52" i="13"/>
  <c r="O51" i="13"/>
  <c r="N51" i="13"/>
  <c r="A51" i="13"/>
  <c r="O50" i="13"/>
  <c r="N50" i="13"/>
  <c r="A50" i="13"/>
  <c r="O49" i="13"/>
  <c r="A49" i="13"/>
  <c r="O48" i="13"/>
  <c r="A48" i="13"/>
  <c r="O47" i="13"/>
  <c r="N47" i="13"/>
  <c r="A47" i="13"/>
  <c r="O46" i="13"/>
  <c r="N46" i="13"/>
  <c r="A46" i="13"/>
  <c r="O45" i="13"/>
  <c r="N45" i="13"/>
  <c r="A45" i="13"/>
  <c r="O44" i="13"/>
  <c r="N44" i="13"/>
  <c r="A44" i="13"/>
  <c r="O43" i="13"/>
  <c r="N43" i="13"/>
  <c r="O42" i="13"/>
  <c r="A42" i="13"/>
  <c r="O41" i="13"/>
  <c r="N41" i="13"/>
  <c r="A41" i="13"/>
  <c r="O40" i="13"/>
  <c r="A40" i="13"/>
  <c r="O39" i="13"/>
  <c r="A39" i="13"/>
  <c r="O38" i="13"/>
  <c r="N38" i="13"/>
  <c r="A38" i="13"/>
  <c r="O37" i="13"/>
  <c r="N37" i="13"/>
  <c r="A37" i="13"/>
  <c r="O36" i="13"/>
  <c r="N36" i="13"/>
  <c r="A36" i="13"/>
  <c r="O35" i="13"/>
  <c r="N35" i="13"/>
  <c r="A35" i="13"/>
  <c r="O34" i="13"/>
  <c r="A34" i="13"/>
  <c r="O33" i="13"/>
  <c r="A33" i="13"/>
  <c r="O32" i="13"/>
  <c r="N32" i="13"/>
  <c r="A32" i="13"/>
  <c r="O31" i="13"/>
  <c r="A31" i="13"/>
  <c r="O30" i="13"/>
  <c r="A30" i="13"/>
  <c r="O29" i="13"/>
  <c r="N29" i="13"/>
  <c r="A29" i="13"/>
  <c r="O28" i="13"/>
  <c r="N28" i="13"/>
  <c r="A28" i="13"/>
  <c r="O27" i="13"/>
  <c r="N27" i="13"/>
  <c r="A27" i="13"/>
  <c r="O26" i="13"/>
  <c r="N26" i="13"/>
  <c r="A26" i="13"/>
  <c r="O25" i="13"/>
  <c r="N25" i="13"/>
  <c r="A25" i="13"/>
  <c r="O24" i="13"/>
  <c r="N24" i="13"/>
  <c r="A24" i="13"/>
  <c r="O23" i="13"/>
  <c r="N23" i="13"/>
  <c r="A23" i="13"/>
  <c r="O22" i="13"/>
  <c r="A22" i="13"/>
  <c r="O21" i="13"/>
  <c r="N21" i="13"/>
  <c r="A21" i="13"/>
  <c r="O20" i="13"/>
  <c r="N20" i="13"/>
  <c r="A20" i="13"/>
  <c r="O19" i="13"/>
  <c r="O18" i="13"/>
  <c r="N18" i="13"/>
  <c r="A18" i="13"/>
  <c r="O17" i="13"/>
  <c r="N17" i="13"/>
  <c r="O16" i="13"/>
  <c r="O15" i="13"/>
  <c r="A15" i="13"/>
  <c r="O14" i="13"/>
  <c r="A14" i="13"/>
  <c r="O13" i="13"/>
  <c r="A13" i="13"/>
  <c r="O12" i="13"/>
  <c r="N12" i="13"/>
  <c r="A12" i="13"/>
  <c r="O11" i="13"/>
  <c r="A11" i="13"/>
  <c r="O10" i="13"/>
  <c r="N10" i="13"/>
  <c r="A10" i="13"/>
  <c r="O9" i="13"/>
  <c r="N9" i="13"/>
  <c r="A9" i="13"/>
  <c r="O8" i="13"/>
  <c r="N8" i="13"/>
  <c r="A8" i="13"/>
  <c r="O7" i="13"/>
  <c r="N7" i="13"/>
  <c r="A7" i="13"/>
  <c r="O6" i="13"/>
  <c r="N6" i="13"/>
  <c r="A6" i="13"/>
  <c r="O5" i="13"/>
  <c r="N5" i="13"/>
  <c r="A5" i="13"/>
  <c r="O4" i="13"/>
  <c r="N4" i="13"/>
  <c r="A4" i="13"/>
  <c r="A26" i="2"/>
  <c r="B1" i="12"/>
  <c r="O13" i="12"/>
  <c r="N13" i="12"/>
  <c r="O12" i="12"/>
  <c r="N12" i="12"/>
  <c r="A12" i="12"/>
  <c r="O11" i="12"/>
  <c r="N11" i="12"/>
  <c r="O10" i="12"/>
  <c r="N10" i="12"/>
  <c r="O9" i="12"/>
  <c r="N9" i="12"/>
  <c r="O8" i="12"/>
  <c r="N8" i="12"/>
  <c r="O7" i="12"/>
  <c r="N7" i="12"/>
  <c r="O6" i="12"/>
  <c r="N6" i="12"/>
  <c r="O5" i="12"/>
  <c r="N5" i="12"/>
  <c r="O4" i="12"/>
  <c r="N4" i="12"/>
  <c r="A25" i="2"/>
  <c r="B1" i="11"/>
  <c r="O4" i="11"/>
  <c r="N4" i="11"/>
  <c r="A4" i="11"/>
  <c r="A24" i="2"/>
  <c r="B1" i="10"/>
  <c r="O27" i="10"/>
  <c r="N27" i="10"/>
  <c r="O26" i="10"/>
  <c r="A26" i="10"/>
  <c r="O25" i="10"/>
  <c r="N25" i="10"/>
  <c r="A25" i="10"/>
  <c r="O24" i="10"/>
  <c r="N24" i="10"/>
  <c r="A24" i="10"/>
  <c r="O23" i="10"/>
  <c r="N23" i="10"/>
  <c r="O22" i="10"/>
  <c r="N22" i="10"/>
  <c r="O21" i="10"/>
  <c r="A21" i="10"/>
  <c r="O20" i="10"/>
  <c r="A20" i="10"/>
  <c r="O19" i="10"/>
  <c r="N19" i="10"/>
  <c r="O18" i="10"/>
  <c r="N18" i="10"/>
  <c r="O17" i="10"/>
  <c r="O16" i="10"/>
  <c r="O15" i="10"/>
  <c r="O14" i="10"/>
  <c r="N14" i="10"/>
  <c r="A14" i="10"/>
  <c r="O13" i="10"/>
  <c r="N13" i="10"/>
  <c r="A13" i="10"/>
  <c r="O12" i="10"/>
  <c r="N12" i="10"/>
  <c r="A12" i="10"/>
  <c r="O11" i="10"/>
  <c r="N11" i="10"/>
  <c r="A11" i="10"/>
  <c r="O10" i="10"/>
  <c r="N10" i="10"/>
  <c r="O9" i="10"/>
  <c r="N9" i="10"/>
  <c r="A9" i="10"/>
  <c r="O8" i="10"/>
  <c r="A8" i="10"/>
  <c r="O7" i="10"/>
  <c r="N7" i="10"/>
  <c r="A7" i="10"/>
  <c r="O6" i="10"/>
  <c r="N6" i="10"/>
  <c r="O5" i="10"/>
  <c r="N5" i="10"/>
  <c r="A5" i="10"/>
  <c r="O4" i="10"/>
  <c r="N4" i="10"/>
  <c r="A4" i="10"/>
  <c r="A23" i="2"/>
  <c r="B1" i="9"/>
  <c r="O57" i="9"/>
  <c r="N57" i="9"/>
  <c r="A57" i="9"/>
  <c r="O56" i="9"/>
  <c r="N56" i="9"/>
  <c r="A56" i="9"/>
  <c r="O55" i="9"/>
  <c r="N55" i="9"/>
  <c r="A55" i="9"/>
  <c r="O54" i="9"/>
  <c r="N54" i="9"/>
  <c r="A54" i="9"/>
  <c r="O53" i="9"/>
  <c r="N53" i="9"/>
  <c r="A53" i="9"/>
  <c r="O52" i="9"/>
  <c r="N52" i="9"/>
  <c r="O51" i="9"/>
  <c r="O50" i="9"/>
  <c r="N50" i="9"/>
  <c r="O49" i="9"/>
  <c r="A49" i="9"/>
  <c r="O48" i="9"/>
  <c r="N48" i="9"/>
  <c r="O47" i="9"/>
  <c r="N47" i="9"/>
  <c r="O46" i="9"/>
  <c r="N46" i="9"/>
  <c r="A46" i="9"/>
  <c r="O45" i="9"/>
  <c r="N45" i="9"/>
  <c r="A45" i="9"/>
  <c r="O44" i="9"/>
  <c r="N44" i="9"/>
  <c r="A44" i="9"/>
  <c r="O43" i="9"/>
  <c r="N43" i="9"/>
  <c r="A43" i="9"/>
  <c r="O42" i="9"/>
  <c r="N42" i="9"/>
  <c r="A42" i="9"/>
  <c r="O41" i="9"/>
  <c r="N41" i="9"/>
  <c r="A41" i="9"/>
  <c r="O40" i="9"/>
  <c r="N40" i="9"/>
  <c r="O39" i="9"/>
  <c r="N39" i="9"/>
  <c r="A39" i="9"/>
  <c r="O38" i="9"/>
  <c r="A38" i="9"/>
  <c r="O37" i="9"/>
  <c r="N37" i="9"/>
  <c r="A37" i="9"/>
  <c r="O36" i="9"/>
  <c r="N36" i="9"/>
  <c r="A36" i="9"/>
  <c r="O35" i="9"/>
  <c r="N35" i="9"/>
  <c r="A35" i="9"/>
  <c r="O34" i="9"/>
  <c r="N34" i="9"/>
  <c r="A34" i="9"/>
  <c r="O33" i="9"/>
  <c r="N33" i="9"/>
  <c r="A33" i="9"/>
  <c r="O32" i="9"/>
  <c r="N32" i="9"/>
  <c r="A32" i="9"/>
  <c r="O31" i="9"/>
  <c r="N31" i="9"/>
  <c r="A31" i="9"/>
  <c r="O30" i="9"/>
  <c r="N30" i="9"/>
  <c r="A30" i="9"/>
  <c r="O29" i="9"/>
  <c r="A29" i="9"/>
  <c r="O28" i="9"/>
  <c r="N28" i="9"/>
  <c r="A28" i="9"/>
  <c r="O27" i="9"/>
  <c r="N27" i="9"/>
  <c r="A27" i="9"/>
  <c r="O26" i="9"/>
  <c r="N26" i="9"/>
  <c r="O25" i="9"/>
  <c r="N25" i="9"/>
  <c r="O24" i="9"/>
  <c r="A24" i="9"/>
  <c r="O23" i="9"/>
  <c r="N23" i="9"/>
  <c r="A23" i="9"/>
  <c r="O22" i="9"/>
  <c r="N22" i="9"/>
  <c r="A22" i="9"/>
  <c r="O21" i="9"/>
  <c r="N21" i="9"/>
  <c r="A21" i="9"/>
  <c r="O20" i="9"/>
  <c r="N20" i="9"/>
  <c r="A20" i="9"/>
  <c r="O19" i="9"/>
  <c r="N19" i="9"/>
  <c r="A19" i="9"/>
  <c r="O18" i="9"/>
  <c r="N18" i="9"/>
  <c r="A18" i="9"/>
  <c r="O17" i="9"/>
  <c r="N17" i="9"/>
  <c r="O16" i="9"/>
  <c r="N16" i="9"/>
  <c r="A16" i="9"/>
  <c r="O15" i="9"/>
  <c r="N15" i="9"/>
  <c r="O14" i="9"/>
  <c r="N14" i="9"/>
  <c r="A14" i="9"/>
  <c r="O13" i="9"/>
  <c r="N13" i="9"/>
  <c r="A13" i="9"/>
  <c r="O12" i="9"/>
  <c r="N12" i="9"/>
  <c r="A12" i="9"/>
  <c r="O11" i="9"/>
  <c r="N11" i="9"/>
  <c r="A11" i="9"/>
  <c r="O10" i="9"/>
  <c r="N10" i="9"/>
  <c r="O9" i="9"/>
  <c r="N9" i="9"/>
  <c r="A9" i="9"/>
  <c r="O8" i="9"/>
  <c r="N8" i="9"/>
  <c r="A8" i="9"/>
  <c r="O7" i="9"/>
  <c r="N7" i="9"/>
  <c r="A7" i="9"/>
  <c r="O6" i="9"/>
  <c r="A6" i="9"/>
  <c r="O5" i="9"/>
  <c r="A5" i="9"/>
  <c r="O4" i="9"/>
  <c r="N4" i="9"/>
  <c r="A4" i="9"/>
  <c r="A22" i="2"/>
  <c r="B1" i="8"/>
  <c r="O61" i="8"/>
  <c r="N61" i="8"/>
  <c r="A61" i="8"/>
  <c r="O60" i="8"/>
  <c r="N60" i="8"/>
  <c r="A60" i="8"/>
  <c r="O59" i="8"/>
  <c r="N59" i="8"/>
  <c r="A59" i="8"/>
  <c r="O58" i="8"/>
  <c r="N58" i="8"/>
  <c r="O57" i="8"/>
  <c r="A57" i="8"/>
  <c r="O56" i="8"/>
  <c r="A56" i="8"/>
  <c r="O55" i="8"/>
  <c r="N55" i="8"/>
  <c r="A55" i="8"/>
  <c r="O54" i="8"/>
  <c r="N54" i="8"/>
  <c r="A54" i="8"/>
  <c r="O53" i="8"/>
  <c r="N53" i="8"/>
  <c r="O52" i="8"/>
  <c r="N52" i="8"/>
  <c r="O51" i="8"/>
  <c r="N51" i="8"/>
  <c r="A51" i="8"/>
  <c r="O50" i="8"/>
  <c r="A50" i="8"/>
  <c r="O49" i="8"/>
  <c r="N49" i="8"/>
  <c r="O48" i="8"/>
  <c r="N48" i="8"/>
  <c r="O47" i="8"/>
  <c r="N47" i="8"/>
  <c r="A47" i="8"/>
  <c r="O46" i="8"/>
  <c r="N46" i="8"/>
  <c r="A46" i="8"/>
  <c r="O45" i="8"/>
  <c r="N45" i="8"/>
  <c r="A45" i="8"/>
  <c r="O44" i="8"/>
  <c r="A44" i="8"/>
  <c r="O43" i="8"/>
  <c r="A43" i="8"/>
  <c r="O42" i="8"/>
  <c r="A42" i="8"/>
  <c r="O41" i="8"/>
  <c r="N41" i="8"/>
  <c r="A41" i="8"/>
  <c r="O40" i="8"/>
  <c r="N40" i="8"/>
  <c r="A40" i="8"/>
  <c r="O39" i="8"/>
  <c r="N39" i="8"/>
  <c r="O38" i="8"/>
  <c r="N38" i="8"/>
  <c r="O37" i="8"/>
  <c r="N37" i="8"/>
  <c r="A37" i="8"/>
  <c r="O36" i="8"/>
  <c r="A36" i="8"/>
  <c r="O35" i="8"/>
  <c r="N35" i="8"/>
  <c r="A35" i="8"/>
  <c r="O34" i="8"/>
  <c r="O33" i="8"/>
  <c r="N33" i="8"/>
  <c r="A33" i="8"/>
  <c r="O32" i="8"/>
  <c r="N32" i="8"/>
  <c r="A32" i="8"/>
  <c r="O31" i="8"/>
  <c r="A31" i="8"/>
  <c r="O30" i="8"/>
  <c r="N30" i="8"/>
  <c r="O29" i="8"/>
  <c r="N29" i="8"/>
  <c r="O28" i="8"/>
  <c r="N28" i="8"/>
  <c r="O27" i="8"/>
  <c r="A27" i="8"/>
  <c r="O26" i="8"/>
  <c r="N26" i="8"/>
  <c r="A26" i="8"/>
  <c r="O25" i="8"/>
  <c r="N25" i="8"/>
  <c r="A25" i="8"/>
  <c r="O24" i="8"/>
  <c r="N24" i="8"/>
  <c r="A24" i="8"/>
  <c r="O23" i="8"/>
  <c r="N23" i="8"/>
  <c r="A23" i="8"/>
  <c r="O22" i="8"/>
  <c r="N22" i="8"/>
  <c r="A22" i="8"/>
  <c r="O21" i="8"/>
  <c r="N21" i="8"/>
  <c r="A21" i="8"/>
  <c r="O20" i="8"/>
  <c r="N20" i="8"/>
  <c r="A20" i="8"/>
  <c r="O19" i="8"/>
  <c r="N19" i="8"/>
  <c r="A19" i="8"/>
  <c r="O18" i="8"/>
  <c r="N18" i="8"/>
  <c r="A18" i="8"/>
  <c r="O17" i="8"/>
  <c r="N17" i="8"/>
  <c r="A17" i="8"/>
  <c r="O16" i="8"/>
  <c r="N16" i="8"/>
  <c r="A16" i="8"/>
  <c r="O15" i="8"/>
  <c r="N15" i="8"/>
  <c r="A15" i="8"/>
  <c r="O14" i="8"/>
  <c r="N14" i="8"/>
  <c r="A14" i="8"/>
  <c r="O13" i="8"/>
  <c r="N13" i="8"/>
  <c r="A13" i="8"/>
  <c r="O12" i="8"/>
  <c r="N12" i="8"/>
  <c r="A12" i="8"/>
  <c r="O11" i="8"/>
  <c r="N11" i="8"/>
  <c r="O10" i="8"/>
  <c r="N10" i="8"/>
  <c r="O9" i="8"/>
  <c r="A9" i="8"/>
  <c r="O8" i="8"/>
  <c r="O7" i="8"/>
  <c r="N7" i="8"/>
  <c r="O6" i="8"/>
  <c r="N6" i="8"/>
  <c r="A6" i="8"/>
  <c r="O5" i="8"/>
  <c r="A5" i="8"/>
  <c r="O4" i="8"/>
  <c r="N4" i="8"/>
  <c r="A4" i="8"/>
  <c r="A21" i="2"/>
  <c r="B1" i="7"/>
  <c r="O6" i="7"/>
  <c r="N6" i="7"/>
  <c r="A6" i="7"/>
  <c r="O5" i="7"/>
  <c r="N5" i="7"/>
  <c r="A5" i="7"/>
  <c r="O4" i="7"/>
  <c r="N4" i="7"/>
  <c r="A4" i="7"/>
  <c r="A20" i="2"/>
  <c r="B1" i="6"/>
  <c r="O36" i="6"/>
  <c r="N36" i="6"/>
  <c r="A36" i="6"/>
  <c r="O35" i="6"/>
  <c r="N35" i="6"/>
  <c r="A35" i="6"/>
  <c r="O34" i="6"/>
  <c r="N34" i="6"/>
  <c r="A34" i="6"/>
  <c r="O33" i="6"/>
  <c r="N33" i="6"/>
  <c r="A33" i="6"/>
  <c r="O32" i="6"/>
  <c r="N32" i="6"/>
  <c r="O31" i="6"/>
  <c r="N31" i="6"/>
  <c r="A31" i="6"/>
  <c r="O30" i="6"/>
  <c r="N30" i="6"/>
  <c r="A30" i="6"/>
  <c r="O29" i="6"/>
  <c r="N29" i="6"/>
  <c r="A29" i="6"/>
  <c r="O28" i="6"/>
  <c r="N28" i="6"/>
  <c r="A28" i="6"/>
  <c r="O27" i="6"/>
  <c r="N27" i="6"/>
  <c r="A27" i="6"/>
  <c r="O26" i="6"/>
  <c r="N26" i="6"/>
  <c r="A26" i="6"/>
  <c r="O25" i="6"/>
  <c r="N25" i="6"/>
  <c r="A25" i="6"/>
  <c r="O24" i="6"/>
  <c r="N24" i="6"/>
  <c r="A24" i="6"/>
  <c r="O23" i="6"/>
  <c r="N23" i="6"/>
  <c r="A23" i="6"/>
  <c r="O22" i="6"/>
  <c r="N22" i="6"/>
  <c r="A22" i="6"/>
  <c r="O21" i="6"/>
  <c r="N21" i="6"/>
  <c r="A21" i="6"/>
  <c r="O20" i="6"/>
  <c r="N20" i="6"/>
  <c r="A20" i="6"/>
  <c r="O19" i="6"/>
  <c r="N19" i="6"/>
  <c r="A19" i="6"/>
  <c r="O18" i="6"/>
  <c r="N18" i="6"/>
  <c r="A18" i="6"/>
  <c r="O17" i="6"/>
  <c r="N17" i="6"/>
  <c r="A17" i="6"/>
  <c r="O16" i="6"/>
  <c r="N16" i="6"/>
  <c r="A16" i="6"/>
  <c r="O15" i="6"/>
  <c r="N15" i="6"/>
  <c r="A15" i="6"/>
  <c r="O14" i="6"/>
  <c r="N14" i="6"/>
  <c r="A14" i="6"/>
  <c r="O13" i="6"/>
  <c r="A13" i="6"/>
  <c r="O12" i="6"/>
  <c r="A12" i="6"/>
  <c r="O11" i="6"/>
  <c r="A11" i="6"/>
  <c r="O10" i="6"/>
  <c r="N10" i="6"/>
  <c r="A10" i="6"/>
  <c r="O9" i="6"/>
  <c r="N9" i="6"/>
  <c r="A9" i="6"/>
  <c r="O8" i="6"/>
  <c r="N8" i="6"/>
  <c r="A8" i="6"/>
  <c r="O7" i="6"/>
  <c r="N7" i="6"/>
  <c r="A7" i="6"/>
  <c r="O6" i="6"/>
  <c r="N6" i="6"/>
  <c r="A6" i="6"/>
  <c r="O5" i="6"/>
  <c r="N5" i="6"/>
  <c r="A5" i="6"/>
  <c r="O4" i="6"/>
  <c r="N4" i="6"/>
  <c r="A19" i="2"/>
  <c r="B1" i="5"/>
  <c r="O4" i="5"/>
  <c r="N4" i="5"/>
  <c r="A18" i="2"/>
  <c r="B1" i="4"/>
  <c r="O7" i="4"/>
  <c r="N7" i="4"/>
  <c r="A7" i="4"/>
  <c r="O6" i="4"/>
  <c r="N6" i="4"/>
  <c r="A6" i="4"/>
  <c r="O5" i="4"/>
  <c r="A5" i="4"/>
  <c r="O4" i="4"/>
  <c r="A4" i="4"/>
  <c r="A17" i="2"/>
  <c r="B1" i="3"/>
  <c r="O9" i="3"/>
  <c r="N9" i="3"/>
  <c r="A9" i="3"/>
  <c r="O8" i="3"/>
  <c r="N8" i="3"/>
  <c r="A8" i="3"/>
  <c r="O7" i="3"/>
  <c r="N7" i="3"/>
  <c r="A7" i="3"/>
  <c r="O6" i="3"/>
  <c r="N6" i="3"/>
  <c r="A6" i="3"/>
  <c r="O5" i="3"/>
  <c r="N5" i="3"/>
  <c r="A5" i="3"/>
  <c r="O4" i="3"/>
  <c r="N4" i="3"/>
  <c r="A4" i="3"/>
  <c r="A16" i="2"/>
</calcChain>
</file>

<file path=xl/sharedStrings.xml><?xml version="1.0" encoding="utf-8"?>
<sst xmlns="http://schemas.openxmlformats.org/spreadsheetml/2006/main" count="3553" uniqueCount="1812">
  <si>
    <t xml:space="preserve">Listing of Jurisdictions Enrolled in the Voluntary National Retail Food Regulatory Program Standards </t>
  </si>
  <si>
    <t xml:space="preserve">This listing identifies regulatory agencies that have enrolled in the Retail Program Standards. </t>
  </si>
  <si>
    <t xml:space="preserve">This listing includes the enrolled jurisdictions' contact information, enrollment dates, the self-reported status of each program standard, </t>
  </si>
  <si>
    <t xml:space="preserve">and where applicable, the status of each program standard as verified through an external independent audit. </t>
  </si>
  <si>
    <t xml:space="preserve">Information Key </t>
  </si>
  <si>
    <t>SA (XX/XX/XXXX) – Indicates that a jurisdiction reported conformance with a Standard.</t>
  </si>
  <si>
    <t xml:space="preserve"> Conformance was determined through a self-assessment completed on XX/XX/XXXX date. </t>
  </si>
  <si>
    <t xml:space="preserve">SA (Unknown Date) – Indicates that a jurisdiction reported conformance with a Standard. </t>
  </si>
  <si>
    <t xml:space="preserve">Conformance was determined through a self-assessment, but the completion date was not reported. </t>
  </si>
  <si>
    <t xml:space="preserve">VA (XX/XX/XXXX) – Indicates that a jurisdiction reported conformance with a Standard. </t>
  </si>
  <si>
    <t xml:space="preserve">Conformance was determined through a self-assessment. </t>
  </si>
  <si>
    <t xml:space="preserve">The self-assessment results were  verified through an independent audit conducted by an external party that was completed on XX/XX/XXXX date. </t>
  </si>
  <si>
    <t xml:space="preserve">VA (Not Reported) – Indicates that a jurisdiction reported conformance with a Standard. </t>
  </si>
  <si>
    <t xml:space="preserve">Conformance was determined through a self-assessment. However, the results and completion date of the verification audit have not been reported. </t>
  </si>
  <si>
    <t>Table of Contents</t>
  </si>
  <si>
    <t>Enrolled Jurisdiction Name</t>
  </si>
  <si>
    <t>Enrollment Date</t>
  </si>
  <si>
    <t>Self-Assessment Period</t>
  </si>
  <si>
    <t>Self-Assessment Completed</t>
  </si>
  <si>
    <t>Achieved Conformance with Standard 1</t>
  </si>
  <si>
    <t>Achieved Conformance with Standard 2</t>
  </si>
  <si>
    <t>Achieved Conformance with Standard 3</t>
  </si>
  <si>
    <t>Achieved Conformance with Standard 4</t>
  </si>
  <si>
    <t>Achieved Conformance with Standard 5</t>
  </si>
  <si>
    <t>Achieved Conformance with Standard 6</t>
  </si>
  <si>
    <t>Achieved Conformance with Standard 7</t>
  </si>
  <si>
    <t>Achieved Conformance with Standard 8</t>
  </si>
  <si>
    <t>Achieved Conformance with Standard 9</t>
  </si>
  <si>
    <t>Jurisdiction Contact</t>
  </si>
  <si>
    <t>FDA Contact</t>
  </si>
  <si>
    <t>SA (07/24/2006)</t>
  </si>
  <si>
    <t>SA (02/24/2009)</t>
  </si>
  <si>
    <t>SA (10/02/2016)</t>
  </si>
  <si>
    <t>SA (06/05/2017)     VA (10/27/2017)</t>
  </si>
  <si>
    <t>SA (09/25/2017)</t>
  </si>
  <si>
    <t>ALABAMA</t>
  </si>
  <si>
    <t>Standards Achieved [as determined by a Self-Assessment (SA) and Verification Audit (VA)] for Alabama</t>
  </si>
  <si>
    <t>SA (03/05/2007)     VA (06/12/2007)</t>
  </si>
  <si>
    <t>Kim Stryker</t>
  </si>
  <si>
    <t>SA (06/25/2012)     VA (11/01/2013)</t>
  </si>
  <si>
    <t>SA (06/25/2012)     VA (11/07/2013)</t>
  </si>
  <si>
    <t>SA (06/25/2012)     VA (04/01/2013)</t>
  </si>
  <si>
    <t>SA (12/31/2002)</t>
  </si>
  <si>
    <t>SA (12/31/2002)     VA (10/25/2006)</t>
  </si>
  <si>
    <t>SA (12/31/2002)     VA (07/01/2007)</t>
  </si>
  <si>
    <t>SA (03/31/2015)     VA (10/25/2006)</t>
  </si>
  <si>
    <t>SA (03/31/2015)     VA (03/07/2006)</t>
  </si>
  <si>
    <t>ALASKA</t>
  </si>
  <si>
    <t>Standards Achieved [as determined by a Self-Assessment (SA) and Verification Audit (VA)] for Alaska</t>
  </si>
  <si>
    <t>American Samoa</t>
  </si>
  <si>
    <t>AMERICANSAMOA</t>
  </si>
  <si>
    <t>Standards Achieved [as determined by a Self-Assessment (SA) and Verification Audit (VA)] for AmericanSamoa</t>
  </si>
  <si>
    <t>Apache County Health Department</t>
  </si>
  <si>
    <t>SA (12/07/2009)</t>
  </si>
  <si>
    <t>SA (06/26/2012)</t>
  </si>
  <si>
    <t>SA (06/15/2017)     VA (03/15/2018)</t>
  </si>
  <si>
    <t>SA (06/16/2017)     VA (06/19/2017)</t>
  </si>
  <si>
    <t>SA (08/16/2006)</t>
  </si>
  <si>
    <t>SA (07/26/2012)</t>
  </si>
  <si>
    <t>SA (09/19/2017)</t>
  </si>
  <si>
    <t>SA (04/01/2004)</t>
  </si>
  <si>
    <t>Marlene Gaither</t>
  </si>
  <si>
    <t>SA (12/29/2008)</t>
  </si>
  <si>
    <t>SA (10/17/2018)</t>
  </si>
  <si>
    <t>SA (07/19/2006)</t>
  </si>
  <si>
    <t>SA (05/17/2006)</t>
  </si>
  <si>
    <t>SA (02/04/2003)</t>
  </si>
  <si>
    <t>SA (07/11/2002)     VA (09/06/2006)</t>
  </si>
  <si>
    <t>SA (11/27/2007)</t>
  </si>
  <si>
    <t>SA (11/27/2007)     VA (10/01/2008)</t>
  </si>
  <si>
    <t>SA (11/27/2007)     VA (04/06/2009)</t>
  </si>
  <si>
    <t>SA (06/26/2015)     VA (02/18/2016)</t>
  </si>
  <si>
    <t>SA (06/26/2015)     VA (02/25/2016)</t>
  </si>
  <si>
    <t>SA (03/28/2008)</t>
  </si>
  <si>
    <t>SA (06/22/2012)     VA (09/13/2013)</t>
  </si>
  <si>
    <t>SA (05/24/2017)     VA (06/16/2017)</t>
  </si>
  <si>
    <t>SA (08/25/2016)     VA (09/08/2016)</t>
  </si>
  <si>
    <t>SA (12/19/2003)     VA (09/06/2006)</t>
  </si>
  <si>
    <t>SA (12/19/2003)     VA (05/06/2005)</t>
  </si>
  <si>
    <t>SA (10/31/2006)</t>
  </si>
  <si>
    <t>SA (05/09/2016)     VA (06/19/2017)</t>
  </si>
  <si>
    <t>Santa Cruz County Health Department</t>
  </si>
  <si>
    <t>SA (04/27/2017)</t>
  </si>
  <si>
    <t>SA (05/24/2002)</t>
  </si>
  <si>
    <t>SA (07/25/2008)     VA (07/30/2013)</t>
  </si>
  <si>
    <t>SA (07/25/2008)     VA (01/30/2013)</t>
  </si>
  <si>
    <t>SA (08/12/2016)     VA (03/20/2017)</t>
  </si>
  <si>
    <t>SA (02/13/2018)     VA (02/13/2018)</t>
  </si>
  <si>
    <t>ARIZONA</t>
  </si>
  <si>
    <t>Standards Achieved [as determined by a Self-Assessment (SA) and Verification Audit (VA)] for Arizona</t>
  </si>
  <si>
    <t>SA (03/05/2007)</t>
  </si>
  <si>
    <t>SA (06/23/2010)     VA (05/25/2010)</t>
  </si>
  <si>
    <t>SA (06/23/2010)     VA (06/15/2010)</t>
  </si>
  <si>
    <t>SA (06/23/2010)     VA (06/09/2010)</t>
  </si>
  <si>
    <t>SA (06/23/2010)     VA (06/21/2010)</t>
  </si>
  <si>
    <t>SA (06/23/2010)     VA (06/23/2010)</t>
  </si>
  <si>
    <t>SA (01/14/2015)     VA (07/13/2015)</t>
  </si>
  <si>
    <t>ARKANSAS</t>
  </si>
  <si>
    <t>Standards Achieved [as determined by a Self-Assessment (SA) and Verification Audit (VA)] for Arkansas</t>
  </si>
  <si>
    <t>SA (04/04/2007)</t>
  </si>
  <si>
    <t>Brad Banner</t>
  </si>
  <si>
    <t>SA (05/26/2003)</t>
  </si>
  <si>
    <t>California State University, Fullerton</t>
  </si>
  <si>
    <t>SA (12/04/2008)</t>
  </si>
  <si>
    <t>SA (09/03/2015)</t>
  </si>
  <si>
    <t>Scott Bourdon</t>
  </si>
  <si>
    <t>SA (06/22/2010)</t>
  </si>
  <si>
    <t>City of Berkeley, Div. of Environmental Health</t>
  </si>
  <si>
    <t>SA (08/26/2009)</t>
  </si>
  <si>
    <t>SA (06/30/2015)     VA (10/09/2015)</t>
  </si>
  <si>
    <t>SA (04/10/2017)     VA (06/06/2017)</t>
  </si>
  <si>
    <t>SA (12/29/2014)     VA (04/06/2015)</t>
  </si>
  <si>
    <t>SA (10/22/2012)     VA (10/24/2014)</t>
  </si>
  <si>
    <t>SA (10/22/2012)     VA (10/31/2014)</t>
  </si>
  <si>
    <t>SA (10/22/2012)     VA (10/28/2014)</t>
  </si>
  <si>
    <t>SA (10/22/2012)     VA (09/26/2014)</t>
  </si>
  <si>
    <t>SA (11/02/2006)</t>
  </si>
  <si>
    <t>SA (03/04/2009)</t>
  </si>
  <si>
    <t>SA (02/24/2014)     VA (03/05/2015)</t>
  </si>
  <si>
    <t>SA (07/08/2015)     VA (01/24/2017)</t>
  </si>
  <si>
    <t>SA (10/30/2013)     VA (12/06/2013)</t>
  </si>
  <si>
    <t>SA (03/26/2010)</t>
  </si>
  <si>
    <t>SA (01/13/2016)</t>
  </si>
  <si>
    <t>SA (07/07/2006)</t>
  </si>
  <si>
    <t>SA (06/01/2012)</t>
  </si>
  <si>
    <t>SA (10/02/2003)     VA (01/10/2008)</t>
  </si>
  <si>
    <t>Yatee Patel</t>
  </si>
  <si>
    <t>Lake County Department of Environment</t>
  </si>
  <si>
    <t>SA (03/17/2014)     VA (06/17/2014)</t>
  </si>
  <si>
    <t>SA (03/17/2014)     VA (05/21/2014)</t>
  </si>
  <si>
    <t>Lassen County Environmental Health</t>
  </si>
  <si>
    <t>Terrance Powell</t>
  </si>
  <si>
    <t>SA (05/21/2009)</t>
  </si>
  <si>
    <t>Mendocino County Environmental Health</t>
  </si>
  <si>
    <t>Dave Jensen</t>
  </si>
  <si>
    <t>SA (04/08/2004)</t>
  </si>
  <si>
    <t>Ruben Oropeza</t>
  </si>
  <si>
    <t>SA (10/22/2009)     VA (03/11/2013)</t>
  </si>
  <si>
    <t>Orange County</t>
  </si>
  <si>
    <t>Pasadena Public Health</t>
  </si>
  <si>
    <t>SA (12/12/2005)</t>
  </si>
  <si>
    <t>SA (06/18/2014)     VA (08/26/2014)</t>
  </si>
  <si>
    <t>John Rogers</t>
  </si>
  <si>
    <t>SA (09/03/2012)     VA (10/19/2011)</t>
  </si>
  <si>
    <t>SA (05/12/2005)</t>
  </si>
  <si>
    <t>SA (12/12/2008)</t>
  </si>
  <si>
    <t>SA (01/24/2013)     VA (11/06/2015)</t>
  </si>
  <si>
    <t>SA (01/24/2013)</t>
  </si>
  <si>
    <t>San Mateo County Environmental Health</t>
  </si>
  <si>
    <t>SA (06/25/2014)     VA (12/12/2014)</t>
  </si>
  <si>
    <t>SA (08/09/2002)</t>
  </si>
  <si>
    <t>SA (06/11/2015)</t>
  </si>
  <si>
    <t>Sierra County Environmental Health</t>
  </si>
  <si>
    <t>SA (10/09/2015)     VA (09/28/2018)</t>
  </si>
  <si>
    <t>SA (03/14/2013)     VA (03/21/2017)</t>
  </si>
  <si>
    <t>SA (05/10/2002)     VA (04/23/2007)</t>
  </si>
  <si>
    <t>Christine Sosko</t>
  </si>
  <si>
    <t>SA (05/29/2015)</t>
  </si>
  <si>
    <t>SA (09/26/2001)</t>
  </si>
  <si>
    <t>Tehama County</t>
  </si>
  <si>
    <t>SA (08/31/2009)</t>
  </si>
  <si>
    <t>SA (02/09/2009)</t>
  </si>
  <si>
    <t>SA (12/16/2014)</t>
  </si>
  <si>
    <t>CALIFORNIA</t>
  </si>
  <si>
    <t>Standards Achieved [as determined by a Self-Assessment (SA) and Verification Audit (VA)] for California</t>
  </si>
  <si>
    <t>SA (09/03/2016)     VA (09/12/2016)</t>
  </si>
  <si>
    <t>SA (06/11/2015)     VA (09/01/2015)</t>
  </si>
  <si>
    <t>SA (05/29/2012)     VA (06/01/2012)</t>
  </si>
  <si>
    <t>SA (11/23/2009)     VA (04/29/2015)</t>
  </si>
  <si>
    <t>SA (10/02/2013)     VA (10/04/2013)</t>
  </si>
  <si>
    <t>SA (07/01/2010)     VA (11/09/2010)</t>
  </si>
  <si>
    <t>SA (04/08/2013)     VA (04/19/2013)</t>
  </si>
  <si>
    <t>SA (05/30/2017)     VA (06/02/2017)</t>
  </si>
  <si>
    <t>SA (06/10/2016)     VA (06/29/2016)</t>
  </si>
  <si>
    <t>SA (07/30/2018)     VA (08/29/2018)</t>
  </si>
  <si>
    <t>SA (05/01/2013)     VA (06/22/2016)</t>
  </si>
  <si>
    <t>SA (11/14/2018)     VA (11/29/2018)</t>
  </si>
  <si>
    <t>Chaffee County Environmental Health Department</t>
  </si>
  <si>
    <t>SA (05/20/2007)     VA (09/29/2015)</t>
  </si>
  <si>
    <t>SA (05/20/2007)</t>
  </si>
  <si>
    <t>SA (09/16/2015)     VA (09/29/2015)</t>
  </si>
  <si>
    <t>SA (12/28/2015)     VA (05/27/2016)</t>
  </si>
  <si>
    <t>SA (12/15/2015)     VA (05/29/2016)</t>
  </si>
  <si>
    <t>SA (11/03/2015)</t>
  </si>
  <si>
    <t>Delta County Health Department</t>
  </si>
  <si>
    <t>SA (08/26/2005)     VA (10/14/2007)</t>
  </si>
  <si>
    <t>SA (08/25/2005)     VA (12/09/2005)</t>
  </si>
  <si>
    <t>SA (08/25/2005)     VA (09/26/2006)</t>
  </si>
  <si>
    <t>Eagle County Health Department</t>
  </si>
  <si>
    <t>SA (04/18/2013)     VA (05/31/2013)</t>
  </si>
  <si>
    <t>SA (10/19/2015)     VA (11/19/2015)</t>
  </si>
  <si>
    <t>SA (02/24/2015)     VA (05/14/2015)</t>
  </si>
  <si>
    <t>SA (11/22/2016)     VA (04/27/2017)</t>
  </si>
  <si>
    <t>SA (11/13/2015)     VA (11/18/2015)</t>
  </si>
  <si>
    <t>SA (06/18/2018)     VA (07/19/2018)</t>
  </si>
  <si>
    <t>SA (12/01/2016)</t>
  </si>
  <si>
    <t>Gunnison County Department of  Health &amp; Human Services</t>
  </si>
  <si>
    <t>SA (11/10/2009)     VA (10/22/2010)</t>
  </si>
  <si>
    <t>SA (11/10/2009)     VA (11/29/2011)</t>
  </si>
  <si>
    <t>SA (05/13/2014)     VA (04/16/2015)</t>
  </si>
  <si>
    <t>SA (02/10/2017)     VA (04/25/2017)</t>
  </si>
  <si>
    <t>SA (05/13/2014)</t>
  </si>
  <si>
    <t>SA (08/28/2015)     VA (09/23/2015)</t>
  </si>
  <si>
    <t>Kelly Alvarez</t>
  </si>
  <si>
    <t>SA (04/11/2012)     VA (10/13/2013)</t>
  </si>
  <si>
    <t>SA (11/01/2017)     VA (11/02/2017)</t>
  </si>
  <si>
    <t>SA (05/16/2016)     VA (06/29/2016)</t>
  </si>
  <si>
    <t>SA (11/17/2017)     VA (11/17/2017)</t>
  </si>
  <si>
    <t>SA (06/07/2012)     VA (04/29/2013)</t>
  </si>
  <si>
    <t>SA (07/10/2017)     VA (08/14/2017)</t>
  </si>
  <si>
    <t>SA (08/10/2017)     VA (09/08/2017)</t>
  </si>
  <si>
    <t>SA (07/07/2017)     VA (08/04/2017)</t>
  </si>
  <si>
    <t>SA (09/07/2017)</t>
  </si>
  <si>
    <t>SA (12/20/2018)     VA (12/26/2018)</t>
  </si>
  <si>
    <t>SA (09/24/2014)     VA (09/26/2014)</t>
  </si>
  <si>
    <t>SA (04/26/2013)     VA (04/29/2013)</t>
  </si>
  <si>
    <t>SA (03/15/2018)     VA (03/16/2018)</t>
  </si>
  <si>
    <t>SA (12/14/2017)     VA (12/15/2017)</t>
  </si>
  <si>
    <t>Otero County Health Department</t>
  </si>
  <si>
    <t>SA (11/06/2018)     VA (11/07/2018)</t>
  </si>
  <si>
    <t>SA (06/29/2015)     VA (07/21/2015)</t>
  </si>
  <si>
    <t>SA (11/29/2017)     VA (11/29/2017)</t>
  </si>
  <si>
    <t>SA (04/23/2014)     VA (04/30/2014)</t>
  </si>
  <si>
    <t>SA (12/18/2015)     VA (02/18/2016)</t>
  </si>
  <si>
    <t>SA (10/18/2012)     VA (12/27/2012)</t>
  </si>
  <si>
    <t>SA (04/28/2014)</t>
  </si>
  <si>
    <t>SA (04/14/2017)     VA (11/21/2017)</t>
  </si>
  <si>
    <t>SA (04/14/2017)</t>
  </si>
  <si>
    <t>SA (04/04/2017)</t>
  </si>
  <si>
    <t>Routt County Department of Environmental Health</t>
  </si>
  <si>
    <t>SA (01/31/2013)</t>
  </si>
  <si>
    <t>SA (07/05/2018)     VA (10/16/2018)</t>
  </si>
  <si>
    <t>SA (10/22/2018)     VA (10/25/2018)</t>
  </si>
  <si>
    <t>SA (10/25/2018)     VA (10/25/2018)</t>
  </si>
  <si>
    <t>Silver Thread Public Health District</t>
  </si>
  <si>
    <t>Summit County Public Health Department</t>
  </si>
  <si>
    <t>SA (05/17/2011)     VA (04/30/2013)</t>
  </si>
  <si>
    <t>SA (09/23/2014)     VA (09/24/2014)</t>
  </si>
  <si>
    <t>SA (10/18/2018)     VA (10/24/2018)</t>
  </si>
  <si>
    <t>SA (08/30/2016)     VA (09/26/2016)</t>
  </si>
  <si>
    <t>SA (12/13/2017)     VA (12/28/2017)</t>
  </si>
  <si>
    <t>SA (03/23/2018)     VA (03/26/2018)</t>
  </si>
  <si>
    <t>SA (11/22/2016)     VA (01/23/2017)</t>
  </si>
  <si>
    <t>SA (11/30/2017)     VA (01/07/2018)</t>
  </si>
  <si>
    <t>SA (06/20/2017)     VA (08/01/2017)</t>
  </si>
  <si>
    <t>SA (11/02/2018)     VA (12/26/2018)</t>
  </si>
  <si>
    <t>SA (11/30/2015)     VA (12/01/2015)</t>
  </si>
  <si>
    <t>SA (09/19/2014)     VA (09/19/2014)</t>
  </si>
  <si>
    <t>SA (08/12/2014)     VA (05/11/2015)</t>
  </si>
  <si>
    <t>COLORADO</t>
  </si>
  <si>
    <t>Standards Achieved [as determined by a Self-Assessment (SA) and Verification Audit (VA)] for Colorado</t>
  </si>
  <si>
    <t>SA (02/14/2013)     VA (03/04/2013)</t>
  </si>
  <si>
    <t>SA (09/10/2015)     VA (03/04/2013)</t>
  </si>
  <si>
    <t>City of Danbury Health and Human Services Department</t>
  </si>
  <si>
    <t>SA (08/01/2018)</t>
  </si>
  <si>
    <t>SA (11/27/2001)</t>
  </si>
  <si>
    <t>SA (05/20/2013)     VA (06/30/2017)</t>
  </si>
  <si>
    <t>SA (12/05/2013)     VA (06/30/2017)</t>
  </si>
  <si>
    <t>Christine Applewhite</t>
  </si>
  <si>
    <t>SA (11/09/2018)     VA (12/13/2018)</t>
  </si>
  <si>
    <t>SA (11/12/2018)</t>
  </si>
  <si>
    <t>SA (11/14/2018)</t>
  </si>
  <si>
    <t>East Shore Health District</t>
  </si>
  <si>
    <t>SA (02/15/2019)</t>
  </si>
  <si>
    <t>SA (05/28/2015)</t>
  </si>
  <si>
    <t>Mashantucket Pequot Tribe</t>
  </si>
  <si>
    <t>SA (03/30/2007)     VA (04/05/2007)</t>
  </si>
  <si>
    <t>SA (03/30/2007)     VA (12/01/2008)</t>
  </si>
  <si>
    <t>Maryam Hosseini</t>
  </si>
  <si>
    <t>SA (11/28/2012)     VA (08/07/2013)</t>
  </si>
  <si>
    <t>SA (11/28/2012)     VA (04/25/2013)</t>
  </si>
  <si>
    <t>SA (11/13/2017)     VA (11/15/2017)</t>
  </si>
  <si>
    <t>Middletown Health Department</t>
  </si>
  <si>
    <t>SA (04/03/2017)     VA (11/30/2018)</t>
  </si>
  <si>
    <t>SA (10/19/2001)     VA (03/31/2006)</t>
  </si>
  <si>
    <t>SA (10/19/2001)     VA (06/16/2008)</t>
  </si>
  <si>
    <t>SA (10/19/2001)</t>
  </si>
  <si>
    <t>Jessica Fletcher</t>
  </si>
  <si>
    <t>SA (10/24/2018)</t>
  </si>
  <si>
    <t>Quinnipiack Valley Health District</t>
  </si>
  <si>
    <t>Stratford Health Department</t>
  </si>
  <si>
    <t>SA (06/16/2015)     VA (06/18/2015)</t>
  </si>
  <si>
    <t>SA (03/12/2009)</t>
  </si>
  <si>
    <t>Patrick McCormack, MPH</t>
  </si>
  <si>
    <t>West Hartford Bloomfield Health District.</t>
  </si>
  <si>
    <t>CONNECTICUT</t>
  </si>
  <si>
    <t>Standards Achieved [as determined by a Self-Assessment (SA) and Verification Audit (VA)] for Connecticut</t>
  </si>
  <si>
    <t>SA (09/08/2014)     VA (09/30/2014)</t>
  </si>
  <si>
    <t>SA (03/31/2017)     VA (06/15/2017)</t>
  </si>
  <si>
    <t>DELAWARE</t>
  </si>
  <si>
    <t>Standards Achieved [as determined by a Self-Assessment (SA) and Verification Audit (VA)] for Delaware</t>
  </si>
  <si>
    <t>Florida Department of Agriculture and Consumer Services</t>
  </si>
  <si>
    <t>SA (02/20/2003)     VA (01/18/2007)</t>
  </si>
  <si>
    <t>SA (02/20/2003)</t>
  </si>
  <si>
    <t>SA (11/10/2014)</t>
  </si>
  <si>
    <t>SA (10/18/2017)     VA (03/16/2018)</t>
  </si>
  <si>
    <t>SA (11/01/2017)     VA (04/06/2018)</t>
  </si>
  <si>
    <t>SA (07/14/2017)     VA (09/07/2017)</t>
  </si>
  <si>
    <t>Florida Department of Business and Professional Regulation</t>
  </si>
  <si>
    <t>SA (03/27/2002)     VA (04/11/2006)</t>
  </si>
  <si>
    <t>SA (10/09/2006)</t>
  </si>
  <si>
    <t>SA (10/09/2006)     VA (10/26/2006)</t>
  </si>
  <si>
    <t>SA (05/10/2010)     VA (06/08/2010)</t>
  </si>
  <si>
    <t>SA (09/12/2013)     VA (09/13/2013)</t>
  </si>
  <si>
    <t>SA (03/31/2011)</t>
  </si>
  <si>
    <t>SA (09/12/2013)</t>
  </si>
  <si>
    <t>SA (06/26/2017)     VA (06/05/2018)</t>
  </si>
  <si>
    <t>SA (08/02/2016)     VA (08/29/2017)</t>
  </si>
  <si>
    <t>SA (08/02/2016)     VA (06/20/2017)</t>
  </si>
  <si>
    <t>SA (06/29/2012)</t>
  </si>
  <si>
    <t>NASA (Kennedy Space Center)</t>
  </si>
  <si>
    <t>SA (10/03/2011)     VA (12/20/2011)</t>
  </si>
  <si>
    <t>FLORIDA</t>
  </si>
  <si>
    <t>Standards Achieved [as determined by a Self-Assessment (SA) and Verification Audit (VA)] for Florida</t>
  </si>
  <si>
    <t>SA (03/20/2013)</t>
  </si>
  <si>
    <t>SA (07/12/2013)</t>
  </si>
  <si>
    <t>SA (02/14/2017)     VA (07/31/2017)</t>
  </si>
  <si>
    <t>SA (05/11/2012)</t>
  </si>
  <si>
    <t>SA (02/23/2017)     VA (05/31/2017)</t>
  </si>
  <si>
    <t>SA (01/01/2018)     VA (02/28/2018)</t>
  </si>
  <si>
    <t>SA (01/01/2018)     VA (03/01/2018)</t>
  </si>
  <si>
    <t>SA (08/27/2008)</t>
  </si>
  <si>
    <t>SA (03/19/2007)</t>
  </si>
  <si>
    <t>Robert Mason</t>
  </si>
  <si>
    <t>SA (03/06/2013)</t>
  </si>
  <si>
    <t>Ramona J. Carney</t>
  </si>
  <si>
    <t>Skip Youmans</t>
  </si>
  <si>
    <t>SA (05/07/2012)</t>
  </si>
  <si>
    <t>Brad Wiggins</t>
  </si>
  <si>
    <t>Calhoun County Health Department</t>
  </si>
  <si>
    <t>SA (10/02/2010)     VA (12/15/2010)</t>
  </si>
  <si>
    <t>SA (04/21/2012)     VA (01/12/2014)</t>
  </si>
  <si>
    <t>Ken Collins</t>
  </si>
  <si>
    <t>Camden County Health Department</t>
  </si>
  <si>
    <t>SA (12/28/2009)</t>
  </si>
  <si>
    <t>SA (06/26/2013)     VA (07/27/2017)</t>
  </si>
  <si>
    <t>Carroll County Health Department</t>
  </si>
  <si>
    <t>SA (02/01/2006)</t>
  </si>
  <si>
    <t>Brandi Strickland</t>
  </si>
  <si>
    <t>SA (02/10/2004)     VA (08/02/2010)</t>
  </si>
  <si>
    <t>SA (02/10/2004)     VA (05/07/2008)</t>
  </si>
  <si>
    <t>Lauren Baker</t>
  </si>
  <si>
    <t>SA (05/30/2013)</t>
  </si>
  <si>
    <t>SA (03/03/2006)</t>
  </si>
  <si>
    <t>SA (08/09/2017)</t>
  </si>
  <si>
    <t>SA (11/28/2017)</t>
  </si>
  <si>
    <t>SA (07/16/2013)</t>
  </si>
  <si>
    <t>SA (02/01/2006)     VA (04/02/2010)</t>
  </si>
  <si>
    <t>SA (02/01/2006)     VA (06/29/2011)</t>
  </si>
  <si>
    <t>Karen Gulley</t>
  </si>
  <si>
    <t>SA (09/14/2017)     VA (10/23/2017)</t>
  </si>
  <si>
    <t>SA (08/31/2015)     VA (09/01/2016)</t>
  </si>
  <si>
    <t>SA (08/31/2015)</t>
  </si>
  <si>
    <t>SA (08/31/2015)     VA (09/04/2015)</t>
  </si>
  <si>
    <t>SA (07/03/2018)     VA (08/31/2018)</t>
  </si>
  <si>
    <t>SA (02/20/2017)     VA (07/31/2017)</t>
  </si>
  <si>
    <t>Spencer Bowen</t>
  </si>
  <si>
    <t>SA (02/10/2005)     VA (07/27/2010)</t>
  </si>
  <si>
    <t>SA (02/10/2005)</t>
  </si>
  <si>
    <t>Sherry Beasley</t>
  </si>
  <si>
    <t>SA (08/16/2012)</t>
  </si>
  <si>
    <t>SA (06/22/2004)     VA (06/07/2010)</t>
  </si>
  <si>
    <t>SA (06/22/2004)     VA (01/25/2012)</t>
  </si>
  <si>
    <t>SA (06/22/2004)</t>
  </si>
  <si>
    <t>Jennifer Kirby</t>
  </si>
  <si>
    <t>SA (09/29/2014)</t>
  </si>
  <si>
    <t>SA (10/20/2016)     VA (01/06/2017)</t>
  </si>
  <si>
    <t>SA (09/29/2014)     VA (08/18/2015)</t>
  </si>
  <si>
    <t>SA (09/18/2018)</t>
  </si>
  <si>
    <t>Darrell M. O'Neal</t>
  </si>
  <si>
    <t>Elbert County Environmental Health</t>
  </si>
  <si>
    <t>SA (06/15/2010)     VA (04/12/2012)</t>
  </si>
  <si>
    <t>SA (06/15/2010)     VA (12/08/2010)</t>
  </si>
  <si>
    <t>SA (03/16/2017)</t>
  </si>
  <si>
    <t>Eli Jones</t>
  </si>
  <si>
    <t>SA (03/03/2003)     VA (08/24/2007)</t>
  </si>
  <si>
    <t>SA (07/10/2012)</t>
  </si>
  <si>
    <t>SA (01/13/2017)     VA (09/26/2017)</t>
  </si>
  <si>
    <t>SA (01/13/2017)     VA (10/10/2017)</t>
  </si>
  <si>
    <t>SA (09/10/2014)</t>
  </si>
  <si>
    <t>SA (09/10/2014)     VA (06/24/2015)</t>
  </si>
  <si>
    <t>SA (09/10/2014)     VA (03/11/2015)</t>
  </si>
  <si>
    <t>SA (05/14/2010)</t>
  </si>
  <si>
    <t>Erin Doane</t>
  </si>
  <si>
    <t>Greene County Envionmental Health</t>
  </si>
  <si>
    <t>SA (01/19/2006)</t>
  </si>
  <si>
    <t>Jason Reagan</t>
  </si>
  <si>
    <t>SA (05/15/2010)</t>
  </si>
  <si>
    <t>SA (05/15/2010)     VA (10/17/2012)</t>
  </si>
  <si>
    <t>SA (05/15/2010)     VA (04/17/2014)</t>
  </si>
  <si>
    <t>SA (05/15/2010)     VA (10/23/2014)</t>
  </si>
  <si>
    <t>SA (11/16/2017)     VA (12/22/2017)</t>
  </si>
  <si>
    <t>SA (01/13/2017)     VA (03/22/2017)</t>
  </si>
  <si>
    <t>SA (07/02/2015)     VA (06/29/2018)</t>
  </si>
  <si>
    <t>SA (07/02/2015)</t>
  </si>
  <si>
    <t>SA (11/15/2017)     VA (03/15/2018)</t>
  </si>
  <si>
    <t>SA (08/19/2016)     VA (08/23/2016)</t>
  </si>
  <si>
    <t>SA (11/01/2017)     VA (01/22/2018)</t>
  </si>
  <si>
    <t>SA (11/01/2017)     VA (04/01/2018)</t>
  </si>
  <si>
    <t>Henry County Environmental Health</t>
  </si>
  <si>
    <t>SA (11/30/2012)</t>
  </si>
  <si>
    <t>SA (07/11/2003)     VA (04/11/2006)</t>
  </si>
  <si>
    <t>SA (02/21/2008)     VA (02/28/2008)</t>
  </si>
  <si>
    <t>Jasper County Health Department</t>
  </si>
  <si>
    <t>SA (10/02/2010)     VA (10/17/2012)</t>
  </si>
  <si>
    <t>SA (01/30/2018)</t>
  </si>
  <si>
    <t>SA (06/30/2010)</t>
  </si>
  <si>
    <t>John Eric Rumer</t>
  </si>
  <si>
    <t>Morgan County Environmental Department</t>
  </si>
  <si>
    <t>SA (02/27/2017)     VA (07/31/2017)</t>
  </si>
  <si>
    <t>SA (08/16/2013)</t>
  </si>
  <si>
    <t>SA (08/16/2013)     VA (04/07/2014)</t>
  </si>
  <si>
    <t>SA (08/16/2013)     VA (10/23/2014)</t>
  </si>
  <si>
    <t>Polk County</t>
  </si>
  <si>
    <t>SA (03/03/2006)     VA (03/02/2011)</t>
  </si>
  <si>
    <t>SA (08/16/2013)     VA (12/09/2013)</t>
  </si>
  <si>
    <t>SA (07/25/2013)</t>
  </si>
  <si>
    <t>SA (05/29/2012)</t>
  </si>
  <si>
    <t>R. Jay Ridenhower</t>
  </si>
  <si>
    <t>Tamika L.Pridgon</t>
  </si>
  <si>
    <t>Brian Spychialski</t>
  </si>
  <si>
    <t>SA (03/27/2017)     VA (04/07/2017)</t>
  </si>
  <si>
    <t>SA (03/20/2017)     VA (04/07/2017)</t>
  </si>
  <si>
    <t>Wayne County Health Department</t>
  </si>
  <si>
    <t>SA (04/15/2013)</t>
  </si>
  <si>
    <t>GEORGIA</t>
  </si>
  <si>
    <t>Standards Achieved [as determined by a Self-Assessment (SA) and Verification Audit (VA)] for Georgia</t>
  </si>
  <si>
    <t>Guam Department of Public Health and Social Services</t>
  </si>
  <si>
    <t>GUAM</t>
  </si>
  <si>
    <t>Standards Achieved [as determined by a Self-Assessment (SA) and Verification Audit (VA)] for Guam</t>
  </si>
  <si>
    <t>SA (07/24/2002)</t>
  </si>
  <si>
    <t>SA (04/29/2014)     VA (09/28/2015)</t>
  </si>
  <si>
    <t>SA (04/29/2014)     VA (07/24/2013)</t>
  </si>
  <si>
    <t>SA (04/29/2014)     VA (01/20/2012)</t>
  </si>
  <si>
    <t>Hawaii State Dept. of Health/Sanitation Branch</t>
  </si>
  <si>
    <t>SA (05/31/2005)</t>
  </si>
  <si>
    <t>SA (01/03/2013)     VA (09/28/2015)</t>
  </si>
  <si>
    <t>SA (01/03/2013)     VA (03/08/2013)</t>
  </si>
  <si>
    <t>SA (06/07/2018)</t>
  </si>
  <si>
    <t>SA (04/18/2005)</t>
  </si>
  <si>
    <t>SA (01/09/2013)     VA (09/28/2015)</t>
  </si>
  <si>
    <t>SA (01/25/2013)     VA (09/28/2015)</t>
  </si>
  <si>
    <t>SA (01/25/2013)     VA (03/08/2013)</t>
  </si>
  <si>
    <t>HAWAII</t>
  </si>
  <si>
    <t>Standards Achieved [as determined by a Self-Assessment (SA) and Verification Audit (VA)] for Hawaii</t>
  </si>
  <si>
    <t>SA (04/19/2005)     VA (02/14/2006)</t>
  </si>
  <si>
    <t>SA (04/19/2005)     VA (03/07/2007)</t>
  </si>
  <si>
    <t>SA (08/24/2010)</t>
  </si>
  <si>
    <t>SA (03/08/2010)</t>
  </si>
  <si>
    <t>SA (09/27/2004)     VA (02/14/2006)</t>
  </si>
  <si>
    <t>SA (09/27/2004)     VA (03/07/2007)</t>
  </si>
  <si>
    <t>SA (12/12/2002)     VA (02/14/2006)</t>
  </si>
  <si>
    <t>SA (12/12/2002)</t>
  </si>
  <si>
    <t>SA (12/12/2002)     VA (03/07/2007)</t>
  </si>
  <si>
    <t>SA (08/12/2016)</t>
  </si>
  <si>
    <t>Position Currently Vacant</t>
  </si>
  <si>
    <t>SA (03/17/2004)     VA (12/31/2005)</t>
  </si>
  <si>
    <t>SA (03/17/2004)     VA (03/17/2004)</t>
  </si>
  <si>
    <t>SA (06/28/2011)</t>
  </si>
  <si>
    <t>SA (06/23/2004)     VA (02/14/2006)</t>
  </si>
  <si>
    <t>SA (06/23/2004)     VA (03/07/2007)</t>
  </si>
  <si>
    <t>SA (09/22/2003)     VA (02/14/2006)</t>
  </si>
  <si>
    <t>SA (09/22/2003)</t>
  </si>
  <si>
    <t>SA (09/22/2003)     VA (03/25/2013)</t>
  </si>
  <si>
    <t>SA (09/22/2003)     VA (03/07/2007)</t>
  </si>
  <si>
    <t>SA (08/17/2015)</t>
  </si>
  <si>
    <t>SA (01/29/2004)     VA (02/14/2006)</t>
  </si>
  <si>
    <t>SA (01/29/2004)</t>
  </si>
  <si>
    <t>SA (01/29/2004)     VA (03/07/2007)</t>
  </si>
  <si>
    <t>Maggie A. Mann</t>
  </si>
  <si>
    <t>SA (10/15/2003)     VA (02/14/2006)</t>
  </si>
  <si>
    <t>SA (10/15/2003)</t>
  </si>
  <si>
    <t>SA (10/15/2003)     VA (03/07/2007)</t>
  </si>
  <si>
    <t>IDAHO</t>
  </si>
  <si>
    <t>Standards Achieved [as determined by a Self-Assessment (SA) and Verification Audit (VA)] for Idaho</t>
  </si>
  <si>
    <t>Boone County Health Department</t>
  </si>
  <si>
    <t>SA (06/30/2012)</t>
  </si>
  <si>
    <t>SA (11/10/2017)</t>
  </si>
  <si>
    <t>SA (06/06/2012)     VA (12/05/2014)</t>
  </si>
  <si>
    <t>SA (06/10/2016)     VA (07/26/2016)</t>
  </si>
  <si>
    <t>SA (06/06/2012)     VA (02/28/2017)</t>
  </si>
  <si>
    <t>SA (06/06/2012)     VA (03/08/2013)</t>
  </si>
  <si>
    <t>SA (06/06/2012)     VA (09/18/2015)</t>
  </si>
  <si>
    <t>SA (06/06/2012)     VA (01/19/2017)</t>
  </si>
  <si>
    <t>SA (12/28/2017)</t>
  </si>
  <si>
    <t>Steve Shireman</t>
  </si>
  <si>
    <t>Champaign Urban Public Health Department</t>
  </si>
  <si>
    <t>SA (12/29/2010)     VA (06/28/2013)</t>
  </si>
  <si>
    <t>SA (12/29/2010)</t>
  </si>
  <si>
    <t>Jim Roberts</t>
  </si>
  <si>
    <t>City of Evanston Health Department</t>
  </si>
  <si>
    <t>Carl Caneva</t>
  </si>
  <si>
    <t>Clay County Health Department</t>
  </si>
  <si>
    <t>SA (06/12/2018)</t>
  </si>
  <si>
    <t>SA (07/02/2018)</t>
  </si>
  <si>
    <t>SA (08/09/2016)     VA (09/02/2016)</t>
  </si>
  <si>
    <t>SA (04/26/2012)</t>
  </si>
  <si>
    <t>SA (04/26/2012)     VA (06/27/2013)</t>
  </si>
  <si>
    <t>Sheri Drotor</t>
  </si>
  <si>
    <t>Dupage County Health Department</t>
  </si>
  <si>
    <t>SA (08/01/2017)     VA (08/24/2017)</t>
  </si>
  <si>
    <t>SA (06/15/2015)     VA (07/24/2015)</t>
  </si>
  <si>
    <t>SA (06/08/2015)     VA (09/24/2015)</t>
  </si>
  <si>
    <t>Sue Kowalcyzk</t>
  </si>
  <si>
    <t>East Side Health Department</t>
  </si>
  <si>
    <t>SA (06/12/2012)     VA (02/15/2013)</t>
  </si>
  <si>
    <t>Effingham County Health Department  </t>
  </si>
  <si>
    <t>Fayette County Health Department</t>
  </si>
  <si>
    <t>SA (06/19/2012)     VA (05/13/2013)</t>
  </si>
  <si>
    <t>Matthew Stroud</t>
  </si>
  <si>
    <t>SA (06/06/2012)     VA (01/09/2017)</t>
  </si>
  <si>
    <t>Ruth Ann Flowers</t>
  </si>
  <si>
    <t>Hamilton County Health Department</t>
  </si>
  <si>
    <t>SA (06/28/2012)</t>
  </si>
  <si>
    <t>Clark Griffith</t>
  </si>
  <si>
    <t>SA (05/31/2012)     VA (04/02/2013)</t>
  </si>
  <si>
    <t>SA (05/31/2012)</t>
  </si>
  <si>
    <t>Henry County Health Department</t>
  </si>
  <si>
    <t>SA (06/27/2014)     VA (12/12/2014)</t>
  </si>
  <si>
    <t>SA (06/17/2004)</t>
  </si>
  <si>
    <t>Patricia Welch</t>
  </si>
  <si>
    <t>SA (12/27/2012)     VA (07/15/2013)</t>
  </si>
  <si>
    <t>Jersey County Health Department</t>
  </si>
  <si>
    <t>SA (04/10/2017)     VA (05/15/2017)</t>
  </si>
  <si>
    <t>SA (03/29/2017)     VA (04/07/2017)</t>
  </si>
  <si>
    <t>SA (04/15/2013)     VA (09/24/2014)</t>
  </si>
  <si>
    <t>SA (09/27/2017)     VA (11/30/2017)</t>
  </si>
  <si>
    <t>SA (08/03/2017)     VA (08/09/2017)</t>
  </si>
  <si>
    <t>SA (04/12/2018)     VA (04/13/2018)</t>
  </si>
  <si>
    <t>SA (04/12/2018)</t>
  </si>
  <si>
    <t>Kendall County Health Department</t>
  </si>
  <si>
    <t>SA (06/26/2012)     VA (08/05/2014)</t>
  </si>
  <si>
    <t>SA (06/26/2012)     VA (10/10/2013)</t>
  </si>
  <si>
    <t>SA (09/26/2017)     VA (09/26/2017)</t>
  </si>
  <si>
    <t>Lee County Health Department</t>
  </si>
  <si>
    <t>SA (07/29/2010)     VA (09/24/2014)</t>
  </si>
  <si>
    <t>SA (07/29/2010)</t>
  </si>
  <si>
    <t>SA (12/27/2017)     VA (12/28/2017)</t>
  </si>
  <si>
    <t>SA (09/27/2016)     VA (09/29/2016)</t>
  </si>
  <si>
    <t>SA (12/26/2017)     VA (12/29/2017)</t>
  </si>
  <si>
    <t>SA (12/21/2018)     VA (02/27/2019)</t>
  </si>
  <si>
    <t>Logan County Health Department</t>
  </si>
  <si>
    <t>SA (12/31/2009)</t>
  </si>
  <si>
    <t>Don Cavey</t>
  </si>
  <si>
    <t>Madison County Health Department  </t>
  </si>
  <si>
    <t>Montgomery County Health Department</t>
  </si>
  <si>
    <t>SA (07/02/2012)     VA (08/20/2014)</t>
  </si>
  <si>
    <t>SA (12/11/2018)</t>
  </si>
  <si>
    <t>SA (09/30/2017)     VA (09/30/2017)</t>
  </si>
  <si>
    <t>SA (09/30/2017)</t>
  </si>
  <si>
    <t>Ogle County Health Department</t>
  </si>
  <si>
    <t>SA (08/02/2016)     VA (08/26/2016)</t>
  </si>
  <si>
    <t>Pike County Health Department</t>
  </si>
  <si>
    <t>SA (06/29/2016)     VA (05/22/2017)</t>
  </si>
  <si>
    <t>Sangamon Department of Public Health</t>
  </si>
  <si>
    <t>SA (05/19/2017)</t>
  </si>
  <si>
    <t>SA (05/22/2017)</t>
  </si>
  <si>
    <t>Kevin Dressman</t>
  </si>
  <si>
    <t>SA (06/15/2012)</t>
  </si>
  <si>
    <t>Carrie Skiles</t>
  </si>
  <si>
    <t>Scott County Health Department</t>
  </si>
  <si>
    <t>SA (06/25/2012)</t>
  </si>
  <si>
    <t>SA (06/25/2012)     VA (03/04/2013)</t>
  </si>
  <si>
    <t>Brad Rendleman</t>
  </si>
  <si>
    <t>SA (07/20/2014)     VA (12/12/2014)</t>
  </si>
  <si>
    <t>Tazewell County Health Department</t>
  </si>
  <si>
    <t>SA (02/19/2016)</t>
  </si>
  <si>
    <t>Village of Skokie</t>
  </si>
  <si>
    <t>Clark D.Griffith</t>
  </si>
  <si>
    <t>ILLINOIS</t>
  </si>
  <si>
    <t>Standards Achieved [as determined by a Self-Assessment (SA) and Verification Audit (VA)] for Illinois</t>
  </si>
  <si>
    <t>Hamilton County Health Dept</t>
  </si>
  <si>
    <t>SA (01/21/2009)</t>
  </si>
  <si>
    <t>SA (09/18/2014)</t>
  </si>
  <si>
    <t>SA (05/05/2010)</t>
  </si>
  <si>
    <t>Krista Click</t>
  </si>
  <si>
    <t>SA (05/24/2018)</t>
  </si>
  <si>
    <t>SA (05/25/2018)</t>
  </si>
  <si>
    <t>SA (01/04/2008)</t>
  </si>
  <si>
    <t>SA (12/15/2017)     VA (01/30/2018)</t>
  </si>
  <si>
    <t>SA (10/15/2017)     VA (12/29/2017)</t>
  </si>
  <si>
    <t>SA (04/30/2012)</t>
  </si>
  <si>
    <t>SA (03/21/2013)     VA (07/06/2015)</t>
  </si>
  <si>
    <t>SA (03/21/2013)     VA (07/12/2015)</t>
  </si>
  <si>
    <t>SA (03/21/2013)     VA (08/17/2015)</t>
  </si>
  <si>
    <t>INDIANA</t>
  </si>
  <si>
    <t>Standards Achieved [as determined by a Self-Assessment (SA) and Verification Audit (VA)] for Indiana</t>
  </si>
  <si>
    <t>SA (05/25/2004)</t>
  </si>
  <si>
    <t>SA (04/02/2012)     VA (02/05/2013)</t>
  </si>
  <si>
    <t>SA (04/02/2012)     VA (03/02/2014)</t>
  </si>
  <si>
    <t>SA (04/02/2012)</t>
  </si>
  <si>
    <t>SA (02/05/2018)     VA (06/07/2018)</t>
  </si>
  <si>
    <t>SA (12/19/2014)     VA (06/20/2015)</t>
  </si>
  <si>
    <t>SA (12/19/2014)     VA (12/29/2015)</t>
  </si>
  <si>
    <t>SA (12/19/2014)     VA (08/26/2015)</t>
  </si>
  <si>
    <t>Black Hawk County Health Department</t>
  </si>
  <si>
    <t>SA (06/27/2012)     VA (06/09/2014)</t>
  </si>
  <si>
    <t>Buena Vista County Environmental Health</t>
  </si>
  <si>
    <t>SA (07/23/2014)     VA (08/08/2014)</t>
  </si>
  <si>
    <t>SA (04/11/2014)     VA (04/28/2014)</t>
  </si>
  <si>
    <t>SA (06/10/2014)     VA (07/15/2014)</t>
  </si>
  <si>
    <t>SA (04/21/2016)     VA (08/04/2016)</t>
  </si>
  <si>
    <t>SA (11/15/2017)     VA (03/22/2018)</t>
  </si>
  <si>
    <t>SA (02/19/2014)     VA (04/22/2014)</t>
  </si>
  <si>
    <t>SA (02/15/2017)     VA (08/29/2017)</t>
  </si>
  <si>
    <t>SA (09/13/2017)     VA (01/12/2018)</t>
  </si>
  <si>
    <t>SA (07/26/2018)</t>
  </si>
  <si>
    <t>SA (10/31/2018)</t>
  </si>
  <si>
    <t>SA (07/27/2018)</t>
  </si>
  <si>
    <t>SA (06/03/2017)     VA (08/29/2017)</t>
  </si>
  <si>
    <t>SA (08/24/2017)</t>
  </si>
  <si>
    <t>SA (04/18/2012)     VA (07/15/2013)</t>
  </si>
  <si>
    <t>SA (04/18/2012)     VA (06/20/2012)</t>
  </si>
  <si>
    <t>SA (04/18/2012)     VA (12/22/2015)</t>
  </si>
  <si>
    <t>SA (04/18/2012)     VA (03/10/2015)</t>
  </si>
  <si>
    <t>SA (03/06/2018)</t>
  </si>
  <si>
    <t>SA (03/29/2018)</t>
  </si>
  <si>
    <t>SA (01/18/2013)     VA (02/29/2016)</t>
  </si>
  <si>
    <t>SA (01/18/2013)     VA (01/04/2016)</t>
  </si>
  <si>
    <t>SA (08/15/2002)     VA (02/13/2006)</t>
  </si>
  <si>
    <t>SA (06/30/2011)</t>
  </si>
  <si>
    <t>SA (07/06/2015)     VA (01/04/2016)</t>
  </si>
  <si>
    <t>SA (07/06/2015)     VA (12/07/2015)</t>
  </si>
  <si>
    <t>SA (07/06/2015)     VA (12/02/2015)</t>
  </si>
  <si>
    <t>SA (04/03/2018)     VA (06/22/2018)</t>
  </si>
  <si>
    <t>Johnson County Public Health</t>
  </si>
  <si>
    <t>SA (06/04/2012)     VA (05/23/2013)</t>
  </si>
  <si>
    <t>SA (06/04/2012)     VA (12/30/2015)</t>
  </si>
  <si>
    <t>SA (06/04/2012)</t>
  </si>
  <si>
    <t>SA (06/22/2018)     VA (07/11/2018)</t>
  </si>
  <si>
    <t>SA (05/07/2018)     VA (06/21/2018)</t>
  </si>
  <si>
    <t>SA (06/26/2018)     VA (07/11/2018)</t>
  </si>
  <si>
    <t>SA (03/30/2010)     VA (04/02/2013)</t>
  </si>
  <si>
    <t>SA (09/30/2017)     VA (10/03/2017)</t>
  </si>
  <si>
    <t>Linn County Public Health</t>
  </si>
  <si>
    <t>SA (11/14/2014)</t>
  </si>
  <si>
    <t>SA (12/21/2018)</t>
  </si>
  <si>
    <t>SA (11/06/2012)</t>
  </si>
  <si>
    <t>SA (06/25/2015)     VA (01/14/2016)</t>
  </si>
  <si>
    <t>SA (11/06/2012)     VA (06/17/2014)</t>
  </si>
  <si>
    <t>SA (11/09/2017)     VA (03/13/2018)</t>
  </si>
  <si>
    <t>SA (02/09/2018)     VA (03/13/2018)</t>
  </si>
  <si>
    <t>SA (11/15/2018)     VA (12/06/2018)</t>
  </si>
  <si>
    <t>SA (11/09/2017)     VA (01/24/2019)</t>
  </si>
  <si>
    <t>Shelby County Health Department</t>
  </si>
  <si>
    <t>SA (09/15/2015)     VA (02/13/2015)</t>
  </si>
  <si>
    <t>SA (09/15/2015)     VA (04/25/2015)</t>
  </si>
  <si>
    <t>SA (09/15/2015)     VA (05/18/2015)</t>
  </si>
  <si>
    <t>SA (07/11/2005)     VA (03/14/2014)</t>
  </si>
  <si>
    <t>SA (07/11/2005)     VA (08/27/2015)</t>
  </si>
  <si>
    <t>SA (07/11/2005)     VA (08/31/2015)</t>
  </si>
  <si>
    <t>SA (07/11/2005)     VA (04/09/2009)</t>
  </si>
  <si>
    <t>SA (07/02/2015)     VA (08/27/2015)</t>
  </si>
  <si>
    <t>SA (07/02/2015)     VA (08/31/2015)</t>
  </si>
  <si>
    <t>SA (05/10/2012)     VA (01/22/2013)</t>
  </si>
  <si>
    <t>SA (05/10/2012)     VA (08/25/2015)</t>
  </si>
  <si>
    <t>SA (05/10/2012)     VA (12/29/2015)</t>
  </si>
  <si>
    <t>SA (11/17/2017)     VA (01/12/2018)</t>
  </si>
  <si>
    <t>SA (11/17/2017)     VA (01/23/2018)</t>
  </si>
  <si>
    <t>SA (11/17/2017)     VA (03/09/2018)</t>
  </si>
  <si>
    <t>IOWA</t>
  </si>
  <si>
    <t>Standards Achieved [as determined by a Self-Assessment (SA) and Verification Audit (VA)] for Iowa</t>
  </si>
  <si>
    <t>Kansas Department of Agriculture</t>
  </si>
  <si>
    <t>SA (03/31/2010)</t>
  </si>
  <si>
    <t>SA (09/23/2016)</t>
  </si>
  <si>
    <t>KANSAS</t>
  </si>
  <si>
    <t>Standards Achieved [as determined by a Self-Assessment (SA) and Verification Audit (VA)] for Kansas</t>
  </si>
  <si>
    <t>Green River District Health Department</t>
  </si>
  <si>
    <t>Kentucky River District Health Department</t>
  </si>
  <si>
    <t>Lake Cumberland District Health Department</t>
  </si>
  <si>
    <t>Louisville Metro Department of Public Health and Wellness</t>
  </si>
  <si>
    <t>SA (06/29/2013)     VA (09/10/2015)</t>
  </si>
  <si>
    <t>Northern Kentucky Health Department</t>
  </si>
  <si>
    <t>SA (11/07/2018)     VA (11/14/2018)</t>
  </si>
  <si>
    <t>US Army Fort Campbell Environmental Health</t>
  </si>
  <si>
    <t>KENTUCKY</t>
  </si>
  <si>
    <t>Standards Achieved [as determined by a Self-Assessment (SA) and Verification Audit (VA)] for Kentucky</t>
  </si>
  <si>
    <t>LOUISIANA</t>
  </si>
  <si>
    <t>Standards Achieved [as determined by a Self-Assessment (SA) and Verification Audit (VA)] for Louisiana</t>
  </si>
  <si>
    <t>SA (02/25/2014)</t>
  </si>
  <si>
    <t>SA (08/12/2011)</t>
  </si>
  <si>
    <t>MAINE</t>
  </si>
  <si>
    <t>Standards Achieved [as determined by a Self-Assessment (SA) and Verification Audit (VA)] for Maine</t>
  </si>
  <si>
    <t>SA (03/19/2013)     VA (08/14/2014)</t>
  </si>
  <si>
    <t>David Rogers</t>
  </si>
  <si>
    <t>SA (03/07/2013)     VA (04/16/2013)</t>
  </si>
  <si>
    <t>SA (04/14/2014)     VA (07/22/2014)</t>
  </si>
  <si>
    <t>SA (06/15/2004)</t>
  </si>
  <si>
    <t>Alan Taylor</t>
  </si>
  <si>
    <t>Montgomery County Health Dept.</t>
  </si>
  <si>
    <t>SA (10/16/2015)     VA (03/11/2016)</t>
  </si>
  <si>
    <t>SA (11/19/2012)</t>
  </si>
  <si>
    <t>SA (03/28/2013)</t>
  </si>
  <si>
    <t>SA (11/30/2017)</t>
  </si>
  <si>
    <t>SA (12/01/2017)</t>
  </si>
  <si>
    <t>MARYLAND</t>
  </si>
  <si>
    <t>Standards Achieved [as determined by a Self-Assessment (SA) and Verification Audit (VA)] for Maryland</t>
  </si>
  <si>
    <t>Adams Board of Health</t>
  </si>
  <si>
    <t>SA (04/01/2016)</t>
  </si>
  <si>
    <t>Nancy Sidmonds-Ruderman</t>
  </si>
  <si>
    <t>SA (01/20/2012)</t>
  </si>
  <si>
    <t>Andover Health Division</t>
  </si>
  <si>
    <t>SA (03/15/2018)     VA (04/18/2018)</t>
  </si>
  <si>
    <t>Athol Board of Health</t>
  </si>
  <si>
    <t>Avon Board of Health</t>
  </si>
  <si>
    <t>SA (05/24/2012)</t>
  </si>
  <si>
    <t>Glen Ayers</t>
  </si>
  <si>
    <t>SA (11/20/2018)</t>
  </si>
  <si>
    <t>SA (11/20/2018)     VA (01/18/2019)</t>
  </si>
  <si>
    <t>SA (12/01/2005)     VA (12/08/2008)</t>
  </si>
  <si>
    <t>City of Chelsea</t>
  </si>
  <si>
    <t>City of Fall River</t>
  </si>
  <si>
    <t>City of Fitchburg Health Department</t>
  </si>
  <si>
    <t>City of Malden Health Department</t>
  </si>
  <si>
    <t>City of Marlborough</t>
  </si>
  <si>
    <t>SA (11/16/2010)</t>
  </si>
  <si>
    <t>Karen Rose</t>
  </si>
  <si>
    <t>SA (01/01/2017)</t>
  </si>
  <si>
    <t>SA (05/07/2017)</t>
  </si>
  <si>
    <t>SA (07/01/2017)</t>
  </si>
  <si>
    <t>City of Newburyport</t>
  </si>
  <si>
    <t>SA (02/17/2007)</t>
  </si>
  <si>
    <t>SA (04/30/2014)</t>
  </si>
  <si>
    <t>SA (04/30/2014)     VA (05/19/2014)</t>
  </si>
  <si>
    <t>SA (04/30/2014)     VA (12/14/2015)</t>
  </si>
  <si>
    <t>SA (02/15/2011)     VA (02/16/2011)</t>
  </si>
  <si>
    <t>SA (02/15/2011)</t>
  </si>
  <si>
    <t>Sharon Cameron</t>
  </si>
  <si>
    <t>SA (09/11/2014)</t>
  </si>
  <si>
    <t>SA (06/28/2016)     VA (06/28/2016)</t>
  </si>
  <si>
    <t>SA (06/07/2013)</t>
  </si>
  <si>
    <t>Larry Ramdin</t>
  </si>
  <si>
    <t>Carolyn Shores Ness</t>
  </si>
  <si>
    <t>East Longmeadow Board of Health</t>
  </si>
  <si>
    <t>Hamilton Board of Health</t>
  </si>
  <si>
    <t>SA (02/10/2017)</t>
  </si>
  <si>
    <t>SA (12/18/2018)     VA (12/19/2018)</t>
  </si>
  <si>
    <t>Hawley Board of Health</t>
  </si>
  <si>
    <t>Lanesborough Board of Health</t>
  </si>
  <si>
    <t>SA (07/22/2011)</t>
  </si>
  <si>
    <t>SA (06/30/2016)</t>
  </si>
  <si>
    <t>SA (05/24/2017)     VA (02/20/2019)</t>
  </si>
  <si>
    <t>SA (01/16/2019)     VA (02/20/2019)</t>
  </si>
  <si>
    <t>SA (09/21/2007)     VA (05/22/2008)</t>
  </si>
  <si>
    <t>Michael Moore</t>
  </si>
  <si>
    <t>SA (12/05/2012)     VA (01/25/2016)</t>
  </si>
  <si>
    <t>SA (03/12/2019)     VA (03/12/2019)</t>
  </si>
  <si>
    <t>Milton Health Department</t>
  </si>
  <si>
    <t>SA (08/30/2011)     VA (08/30/2011)</t>
  </si>
  <si>
    <t>Gina McNeely</t>
  </si>
  <si>
    <t>Needham Board of Health</t>
  </si>
  <si>
    <t>SA (09/26/2016)     VA (05/15/2017)</t>
  </si>
  <si>
    <t>SA (06/18/2012)</t>
  </si>
  <si>
    <t>Town of Barnstable Health Division</t>
  </si>
  <si>
    <t>Town of Becket</t>
  </si>
  <si>
    <t>SA (06/06/2012)</t>
  </si>
  <si>
    <t>Town of Buckland</t>
  </si>
  <si>
    <t>SA (10/18/2012)</t>
  </si>
  <si>
    <t>SA (09/01/2014)     VA (09/29/2014)</t>
  </si>
  <si>
    <t>Town of Colrain</t>
  </si>
  <si>
    <t>Town of Dalton</t>
  </si>
  <si>
    <t>SA (11/29/2005)     VA (11/20/2008)</t>
  </si>
  <si>
    <t>Peter Mirandi</t>
  </si>
  <si>
    <t>SA (06/24/2011)</t>
  </si>
  <si>
    <t>Sandra Martin</t>
  </si>
  <si>
    <t>SA (05/02/2016)</t>
  </si>
  <si>
    <t>Town of Fairhaven</t>
  </si>
  <si>
    <t>SA (06/04/2018)</t>
  </si>
  <si>
    <t>Town of Greenfield</t>
  </si>
  <si>
    <t>SA (08/12/2010)</t>
  </si>
  <si>
    <t>Town of Lynnfield Board of Health</t>
  </si>
  <si>
    <t>Town of Mansfield</t>
  </si>
  <si>
    <t>SA (01/17/2011)     VA (10/04/2006)</t>
  </si>
  <si>
    <t>Derek Fullerton</t>
  </si>
  <si>
    <t>Town of Mount Washington</t>
  </si>
  <si>
    <t>Eleanor Lovejoy</t>
  </si>
  <si>
    <t>Town of Nahant</t>
  </si>
  <si>
    <t>John Coulon</t>
  </si>
  <si>
    <t>Town of Nantucket</t>
  </si>
  <si>
    <t>SA (02/04/2017)</t>
  </si>
  <si>
    <t>Town of Norwood</t>
  </si>
  <si>
    <t>Town of Peru</t>
  </si>
  <si>
    <t>Town of Richmond</t>
  </si>
  <si>
    <t>SA (09/23/2015)     VA (03/22/2016)</t>
  </si>
  <si>
    <t>SA (01/03/2019)     VA (01/16/2019)</t>
  </si>
  <si>
    <t>SA (11/01/2017)     VA (01/16/2019)</t>
  </si>
  <si>
    <t>Town of Walpole</t>
  </si>
  <si>
    <t>SA (06/01/2018)</t>
  </si>
  <si>
    <t>Town of Wellesley</t>
  </si>
  <si>
    <t>Town of Wellfleet Health &amp; Conservation Department</t>
  </si>
  <si>
    <t>Town of West Springfield</t>
  </si>
  <si>
    <t>SA (01/07/2008)</t>
  </si>
  <si>
    <t>Jeanne Galloway</t>
  </si>
  <si>
    <t>SA (07/01/2013)     VA (03/06/2018)</t>
  </si>
  <si>
    <t>SA (07/01/2013)     VA (02/03/2016)</t>
  </si>
  <si>
    <t>Rae Dick</t>
  </si>
  <si>
    <t>Town of Westwood Health Department</t>
  </si>
  <si>
    <t>Town of Windsor</t>
  </si>
  <si>
    <t>Tyngsborough Board of Health</t>
  </si>
  <si>
    <t>Larry Davis</t>
  </si>
  <si>
    <t>Wilmington Board of Health</t>
  </si>
  <si>
    <t>SA (02/14/2018)     VA (03/12/2018)</t>
  </si>
  <si>
    <t>SA (02/28/2018)     VA (03/12/2018)</t>
  </si>
  <si>
    <t>SA (02/26/2018)     VA (03/12/2018)</t>
  </si>
  <si>
    <t>SA (03/01/2018)     VA (03/12/2018)</t>
  </si>
  <si>
    <t>MASSACHUSETTS</t>
  </si>
  <si>
    <t>Standards Achieved [as determined by a Self-Assessment (SA) and Verification Audit (VA)] for Massachusetts</t>
  </si>
  <si>
    <t>Bay City Health Department</t>
  </si>
  <si>
    <t>SA (03/30/2012)     VA (05/04/2012)</t>
  </si>
  <si>
    <t>Joel Strasz</t>
  </si>
  <si>
    <t>Branch Hilldale St. Joseph District Health</t>
  </si>
  <si>
    <t>SA (02/08/2011)     VA (02/29/2012)</t>
  </si>
  <si>
    <t>SA (12/31/2013)     VA (03/03/2015)</t>
  </si>
  <si>
    <t>SA (12/31/2013)</t>
  </si>
  <si>
    <t>SA (03/03/2008)     VA (04/14/2009)</t>
  </si>
  <si>
    <t>SA (02/28/2010)     VA (03/21/2011)</t>
  </si>
  <si>
    <t>SA (02/28/2013)     VA (03/18/2014)</t>
  </si>
  <si>
    <t>SA (03/22/2017)     VA (03/22/2017)</t>
  </si>
  <si>
    <t>SA (07/20/2010)     VA (08/18/2010)</t>
  </si>
  <si>
    <t>SA (01/23/2015)     VA (05/06/2015)</t>
  </si>
  <si>
    <t>District Health Department #4</t>
  </si>
  <si>
    <t>SA (05/24/2010)     VA (06/02/2010)</t>
  </si>
  <si>
    <t>Scott Smith</t>
  </si>
  <si>
    <t>SA (03/09/2012)     VA (11/18/2012)</t>
  </si>
  <si>
    <t>SA (09/24/2014)     VA (07/24/2015)</t>
  </si>
  <si>
    <t>SA (09/24/2014)     VA (09/15/2015)</t>
  </si>
  <si>
    <t>Health Department of Northwest Michigan</t>
  </si>
  <si>
    <t>SA (04/07/2017)     VA (04/14/2017)</t>
  </si>
  <si>
    <t>SA (04/07/2017)</t>
  </si>
  <si>
    <t>Ingham County Health Department</t>
  </si>
  <si>
    <t>SA (02/11/2008)     VA (03/18/2008)</t>
  </si>
  <si>
    <t>SA (02/11/2008)     VA (08/14/2009)</t>
  </si>
  <si>
    <t>Dianne Gorch</t>
  </si>
  <si>
    <t>SA (03/01/2011)     VA (03/08/2011)</t>
  </si>
  <si>
    <t>SA (03/01/2011)     VA (05/09/2011)</t>
  </si>
  <si>
    <t>SA (03/01/2014)     VA (03/07/2014)</t>
  </si>
  <si>
    <t>Ionia County Health Department</t>
  </si>
  <si>
    <t>SA (06/24/2011)     VA (01/27/2012)</t>
  </si>
  <si>
    <t>SA (06/03/2013)     VA (05/19/2014)</t>
  </si>
  <si>
    <t>SA (06/25/2018)</t>
  </si>
  <si>
    <t>SA (08/06/2018)</t>
  </si>
  <si>
    <t>SA (04/30/2018)</t>
  </si>
  <si>
    <t>Kalamazoo County HC SD</t>
  </si>
  <si>
    <t>SA (09/30/2008)     VA (05/20/2009)</t>
  </si>
  <si>
    <t>Vern Johnson</t>
  </si>
  <si>
    <t>SA (02/27/2012)     VA (05/24/2012)</t>
  </si>
  <si>
    <t>SA (02/14/2014)     VA (05/07/2015)</t>
  </si>
  <si>
    <t>Kent County Health Department  </t>
  </si>
  <si>
    <t>SA (03/08/2017)</t>
  </si>
  <si>
    <t>Lenawee CHD</t>
  </si>
  <si>
    <t>SA (05/03/2013)     VA (05/05/2014)</t>
  </si>
  <si>
    <t>Livingston County Department of Public Health</t>
  </si>
  <si>
    <t>SA (04/08/2009)     VA (04/14/2009)</t>
  </si>
  <si>
    <t>Diane McCormick</t>
  </si>
  <si>
    <t>SA (06/07/2013)     VA (06/03/2014)</t>
  </si>
  <si>
    <t>LMAS District Health Department</t>
  </si>
  <si>
    <t>SA (08/16/2010)     VA (08/24/2010)</t>
  </si>
  <si>
    <t>SA (04/18/2012)     VA (05/10/2013)</t>
  </si>
  <si>
    <t>SA (05/25/2005)     VA (07/25/2007)</t>
  </si>
  <si>
    <t>SA (05/25/2005)</t>
  </si>
  <si>
    <t>SA (05/25/2005)     VA (06/26/2009)</t>
  </si>
  <si>
    <t>SA (05/25/2005)     VA (10/31/2007)</t>
  </si>
  <si>
    <t>Barbara Coy</t>
  </si>
  <si>
    <t>SA (04/07/2014)</t>
  </si>
  <si>
    <t>Midland County Dept of Public Health</t>
  </si>
  <si>
    <t>SA (06/30/2017)</t>
  </si>
  <si>
    <t>SA (02/03/2012)     VA (02/08/2013)</t>
  </si>
  <si>
    <t>Oakland County Health Division</t>
  </si>
  <si>
    <t>SA (07/12/2016)     VA (08/10/2016)</t>
  </si>
  <si>
    <t>SA (07/12/2018)</t>
  </si>
  <si>
    <t>SA (07/12/2018)     VA (10/31/2018)</t>
  </si>
  <si>
    <t>Ottawa County Dept. of Public Health</t>
  </si>
  <si>
    <t>SA (05/20/2015)     VA (05/20/2015)</t>
  </si>
  <si>
    <t>Public Health Delta and Menominee Counties</t>
  </si>
  <si>
    <t>SA (08/30/2016)     VA (01/06/2017)</t>
  </si>
  <si>
    <t>Shiawassee County Health Department</t>
  </si>
  <si>
    <t>SA (04/28/2010)     VA (05/18/2010)</t>
  </si>
  <si>
    <t>Trevor J. Older</t>
  </si>
  <si>
    <t>SA (12/01/2012)     VA (05/21/2013)</t>
  </si>
  <si>
    <t>SA (08/08/2011)     VA (08/10/2011)</t>
  </si>
  <si>
    <t>Maureen Franklin</t>
  </si>
  <si>
    <t>SA (07/31/2013)     VA (08/13/2014)</t>
  </si>
  <si>
    <t>Western UP Health Department</t>
  </si>
  <si>
    <t>SA (04/27/2010)     VA (05/19/2010)</t>
  </si>
  <si>
    <t>Lynne Madison</t>
  </si>
  <si>
    <t>SA (07/31/2014)     VA (09/22/2014)</t>
  </si>
  <si>
    <t>SA (12/20/2017)     VA (12/20/2017)</t>
  </si>
  <si>
    <t>SA (08/18/2015)     VA (08/26/2015)</t>
  </si>
  <si>
    <t>MICHIGAN</t>
  </si>
  <si>
    <t>Standards Achieved [as determined by a Self-Assessment (SA) and Verification Audit (VA)] for Michigan</t>
  </si>
  <si>
    <t>Spencer J. Pierce</t>
  </si>
  <si>
    <t>Brown-Nicollet Environmental Health Services</t>
  </si>
  <si>
    <t>SA (06/07/2012)</t>
  </si>
  <si>
    <t>Karen Swenson</t>
  </si>
  <si>
    <t>Lynn Moore</t>
  </si>
  <si>
    <t>SA (08/06/2010)</t>
  </si>
  <si>
    <t>SA (06/02/2004)</t>
  </si>
  <si>
    <t>Jason Newby</t>
  </si>
  <si>
    <t>SA (06/27/2013)</t>
  </si>
  <si>
    <t>SA (06/27/2014)</t>
  </si>
  <si>
    <t>SA (09/30/2016)</t>
  </si>
  <si>
    <t>City of Edina</t>
  </si>
  <si>
    <t>City of Maplewood</t>
  </si>
  <si>
    <t>SA (06/27/2012)     VA (10/01/2013)</t>
  </si>
  <si>
    <t>Molly Wellens</t>
  </si>
  <si>
    <t>City of Minneapolis Health Department</t>
  </si>
  <si>
    <t>SA (06/08/2016)</t>
  </si>
  <si>
    <t>City of Minnetonka, Environmental Health</t>
  </si>
  <si>
    <t>City of St. Cloud</t>
  </si>
  <si>
    <t>SA (10/23/2018)</t>
  </si>
  <si>
    <t>City of Wayzata</t>
  </si>
  <si>
    <t>Lisa Gyswyt</t>
  </si>
  <si>
    <t>Countryside Public Health Envm. Health</t>
  </si>
  <si>
    <t>SA (02/21/2019)</t>
  </si>
  <si>
    <t>Hennepin County Human Services and Public Health Department</t>
  </si>
  <si>
    <t>SA (03/20/2015)</t>
  </si>
  <si>
    <t>Horizon Public Health</t>
  </si>
  <si>
    <t>SA (03/19/2012)     VA (09/28/2015)</t>
  </si>
  <si>
    <t>Jane Michaels</t>
  </si>
  <si>
    <t>SA (04/11/2018)     VA (04/11/2018)</t>
  </si>
  <si>
    <t>Kandiyohi-Renville Community Health Board</t>
  </si>
  <si>
    <t>David Distad</t>
  </si>
  <si>
    <t>SA (08/18/2016)</t>
  </si>
  <si>
    <t>SA (03/03/2003)</t>
  </si>
  <si>
    <t>SA (07/02/2012)</t>
  </si>
  <si>
    <t>SA (04/11/2017)     VA (06/14/2017)</t>
  </si>
  <si>
    <t>SA (05/09/2016)     VA (06/21/2016)</t>
  </si>
  <si>
    <t>SA (05/09/2016)     VA (08/24/2016)</t>
  </si>
  <si>
    <t>SA (10/27/2016)     VA (12/19/2016)</t>
  </si>
  <si>
    <t>Minnesota Department of Health, Food, Pools, Lodging Services Section</t>
  </si>
  <si>
    <t>SA (06/03/2004)</t>
  </si>
  <si>
    <t>SA (02/01/2003)</t>
  </si>
  <si>
    <t>SA (05/01/2014)</t>
  </si>
  <si>
    <t>SA (06/01/2018)     VA (06/20/2018)</t>
  </si>
  <si>
    <t>SA (05/22/2017)     VA (07/31/2017)</t>
  </si>
  <si>
    <t>SA (05/22/2017)     VA (08/09/2017)</t>
  </si>
  <si>
    <t>SA (05/22/2017)     VA (08/08/2017)</t>
  </si>
  <si>
    <t>Olmstead Coiunty Public Health Services</t>
  </si>
  <si>
    <t>SA (03/25/2015)</t>
  </si>
  <si>
    <t>SA (05/05/2017)     VA (06/29/2017)</t>
  </si>
  <si>
    <t>SA (03/14/2017)     VA (06/29/2018)</t>
  </si>
  <si>
    <t>SA (05/01/2017)     VA (06/29/2017)</t>
  </si>
  <si>
    <t>Partnership4Health Community Health Board</t>
  </si>
  <si>
    <t>SA (02/02/2018)     VA (10/19/2018)</t>
  </si>
  <si>
    <t>SA (02/12/2018)</t>
  </si>
  <si>
    <t>SA (02/08/2018)     VA (08/14/2018)</t>
  </si>
  <si>
    <t>SA (05/01/2018)</t>
  </si>
  <si>
    <t>Southwest Health and Human Services</t>
  </si>
  <si>
    <t>Jason Kloss</t>
  </si>
  <si>
    <t>St. Paul-Ramsey County Public Health</t>
  </si>
  <si>
    <t>SA (01/18/2019)     VA (01/23/2019)</t>
  </si>
  <si>
    <t>Wadena County Public Health</t>
  </si>
  <si>
    <t>SA (04/19/2010)</t>
  </si>
  <si>
    <t>SA (05/10/2013)</t>
  </si>
  <si>
    <t>SA (01/25/2013)</t>
  </si>
  <si>
    <t>SA (01/22/2003)</t>
  </si>
  <si>
    <t>SA (12/01/2005)</t>
  </si>
  <si>
    <t>SA (11/03/2008)</t>
  </si>
  <si>
    <t>MINNESOTA</t>
  </si>
  <si>
    <t>Standards Achieved [as determined by a Self-Assessment (SA) and Verification Audit (VA)] for Minnesota</t>
  </si>
  <si>
    <t>SA (08/30/2002)     VA (08/01/2009)</t>
  </si>
  <si>
    <t>MISSISSIPPI</t>
  </si>
  <si>
    <t>Standards Achieved [as determined by a Self-Assessment (SA) and Verification Audit (VA)] for Mississippi</t>
  </si>
  <si>
    <t>Barton County Health Department</t>
  </si>
  <si>
    <t>Callaway County Health Department</t>
  </si>
  <si>
    <t>SA (04/12/2013)</t>
  </si>
  <si>
    <t>Carter County Health Center</t>
  </si>
  <si>
    <t>SA (06/25/2007)     VA (08/20/2012)</t>
  </si>
  <si>
    <t>SA (06/25/2007)</t>
  </si>
  <si>
    <t>SA (06/14/2010)     VA (06/14/2010)</t>
  </si>
  <si>
    <t>SA (06/14/2010)     VA (04/14/2016)</t>
  </si>
  <si>
    <t>SA (06/14/2010)     VA (08/20/2012)</t>
  </si>
  <si>
    <t>SA (06/14/2010)</t>
  </si>
  <si>
    <t>City of Saint Joseph Health Department</t>
  </si>
  <si>
    <t>SA (06/24/2011)     VA (02/26/2015)</t>
  </si>
  <si>
    <t>Clay County Public Health Center</t>
  </si>
  <si>
    <t>SA (07/01/2014)     VA (08/03/2016)</t>
  </si>
  <si>
    <t>SA (08/31/2017)     VA (09/07/2017)</t>
  </si>
  <si>
    <t>SA (10/31/2018)     VA (11/01/2018)</t>
  </si>
  <si>
    <t>SA (06/01/2018)     VA (06/12/2018)</t>
  </si>
  <si>
    <t>SA (07/01/2014)     VA (06/19/2015)</t>
  </si>
  <si>
    <t>Clinton County Health Department</t>
  </si>
  <si>
    <t>SA (01/04/2010)     VA (04/20/2015)</t>
  </si>
  <si>
    <t>SA (01/04/2010)     VA (06/09/2011)</t>
  </si>
  <si>
    <t>SA (01/04/2010)     VA (04/19/2013)</t>
  </si>
  <si>
    <t>SA (01/04/2010)     VA (04/11/2012)</t>
  </si>
  <si>
    <t>SA (08/10/2014)     VA (04/20/2015)</t>
  </si>
  <si>
    <t>SA (05/31/2017)     VA (06/15/2017)</t>
  </si>
  <si>
    <t>SA (05/01/2013)     VA (05/31/2013)</t>
  </si>
  <si>
    <t>SA (08/10/2014)     VA (05/06/2016)</t>
  </si>
  <si>
    <t>Cooper County Public Health Center</t>
  </si>
  <si>
    <t>SA (07/02/2014)     VA (09/16/2014)</t>
  </si>
  <si>
    <t>Grundy County Health Department</t>
  </si>
  <si>
    <t>SA (01/30/2012)     VA (03/14/2016)</t>
  </si>
  <si>
    <t>SA (01/14/2015)     VA (02/03/2015)</t>
  </si>
  <si>
    <t>SA (01/30/2015)     VA (02/03/2015)</t>
  </si>
  <si>
    <t>SA (02/28/2018)     VA (03/15/2018)</t>
  </si>
  <si>
    <t>SA (01/30/2016)     VA (03/14/2016)</t>
  </si>
  <si>
    <t>Jefferson County Health Department</t>
  </si>
  <si>
    <t>SA (06/22/2016)     VA (08/17/2016)</t>
  </si>
  <si>
    <t>SA (06/01/2009)     VA (09/29/2015)</t>
  </si>
  <si>
    <t>SA (12/18/2018)     VA (12/27/2018)</t>
  </si>
  <si>
    <t>SA (09/18/2014)     VA (09/29/2014)</t>
  </si>
  <si>
    <t>SA (09/16/2002)</t>
  </si>
  <si>
    <t>SA (06/16/2014)     VA (07/10/2014)</t>
  </si>
  <si>
    <t>SA (06/16/2014)     VA (12/14/2015)</t>
  </si>
  <si>
    <t>Lafayette County Health Department</t>
  </si>
  <si>
    <t>SA (09/01/2018)     VA (10/10/2018)</t>
  </si>
  <si>
    <t>Livingston County Health Center</t>
  </si>
  <si>
    <t>SA (08/01/2018)     VA (08/06/2018)</t>
  </si>
  <si>
    <t>Macon County Health Department</t>
  </si>
  <si>
    <t>SA (06/10/2002)     VA (07/30/2004)</t>
  </si>
  <si>
    <t>SA (06/17/2011)     VA (01/22/2013)</t>
  </si>
  <si>
    <t>SA (03/09/2017)     VA (05/15/2017)</t>
  </si>
  <si>
    <t>SA (03/09/2017)     VA (12/22/2017)</t>
  </si>
  <si>
    <t>SA (06/09/2016)</t>
  </si>
  <si>
    <t>Pettis County Health Center</t>
  </si>
  <si>
    <t>Phelps-Maries County Health Department</t>
  </si>
  <si>
    <t>SA (09/24/2010)     VA (07/29/2014)</t>
  </si>
  <si>
    <t>SA (09/24/2010)</t>
  </si>
  <si>
    <t>SA (07/15/2016)     VA (07/29/2014)</t>
  </si>
  <si>
    <t>SA (07/15/2016)</t>
  </si>
  <si>
    <t>SA (12/31/2015)</t>
  </si>
  <si>
    <t>Randolph County Health Department</t>
  </si>
  <si>
    <t>SA (07/17/2015)     VA (07/17/2015)</t>
  </si>
  <si>
    <t>Reynolds County Health Center</t>
  </si>
  <si>
    <t>SA (06/19/2003)</t>
  </si>
  <si>
    <t>SA (06/19/2003)     VA (01/23/2012)</t>
  </si>
  <si>
    <t>SA (01/13/2012)     VA (03/24/2015)</t>
  </si>
  <si>
    <t>SA (01/13/2012)     VA (01/08/2014)</t>
  </si>
  <si>
    <t>SA (01/13/2012)     VA (04/08/2013)</t>
  </si>
  <si>
    <t>SA (01/13/2012)     VA (01/23/2012)</t>
  </si>
  <si>
    <t>SA (03/28/2014)     VA (04/10/2014)</t>
  </si>
  <si>
    <t>SA (08/25/2014)     VA (11/06/2014)</t>
  </si>
  <si>
    <t>SA (02/02/2009)</t>
  </si>
  <si>
    <t>SA (06/26/2012)     VA (09/12/2014)</t>
  </si>
  <si>
    <t>SA (06/26/2012)     VA (12/06/2012)</t>
  </si>
  <si>
    <t>SA (12/15/2016)     VA (12/28/2016)</t>
  </si>
  <si>
    <t>SA (01/29/2003)</t>
  </si>
  <si>
    <t>SA (05/04/2010)</t>
  </si>
  <si>
    <t>SA (05/04/2010)     VA (02/26/2015)</t>
  </si>
  <si>
    <t>SA (05/04/2010)     VA (02/04/2013)</t>
  </si>
  <si>
    <t>SA (01/06/2012)     VA (05/19/2010)</t>
  </si>
  <si>
    <t>SA (01/06/2012)</t>
  </si>
  <si>
    <t>SA (01/06/2012)     VA (11/14/2011)</t>
  </si>
  <si>
    <t>SA (01/06/2012)     VA (05/20/2010)</t>
  </si>
  <si>
    <t>University of Missouri at Columbia</t>
  </si>
  <si>
    <t>MISSOURI</t>
  </si>
  <si>
    <t>Standards Achieved [as determined by a Self-Assessment (SA) and Verification Audit (VA)] for Missouri</t>
  </si>
  <si>
    <t>Broadwater County</t>
  </si>
  <si>
    <t>SA (06/22/2018)     VA (05/27/2016)</t>
  </si>
  <si>
    <t>SA (04/06/2005)</t>
  </si>
  <si>
    <t>SA (06/18/2013)     VA (05/27/2016)</t>
  </si>
  <si>
    <t>SA (06/18/2013)</t>
  </si>
  <si>
    <t>SA (06/18/2013)     VA (08/25/2014)</t>
  </si>
  <si>
    <t>Carter County Environmental Health</t>
  </si>
  <si>
    <t>SA (06/24/2016)     VA (05/27/2016)</t>
  </si>
  <si>
    <t>Crow Reservation</t>
  </si>
  <si>
    <t>SA (06/30/2004)</t>
  </si>
  <si>
    <t>Daniels County Environmental Health</t>
  </si>
  <si>
    <t>SA (09/10/2007)</t>
  </si>
  <si>
    <t>Fallon County Environmental Health</t>
  </si>
  <si>
    <t>Joseph Russell</t>
  </si>
  <si>
    <t>SA (08/22/2016)     VA (05/27/2016)</t>
  </si>
  <si>
    <t>Gallatin City/County Env. Health</t>
  </si>
  <si>
    <t>Lake County Environmental Health</t>
  </si>
  <si>
    <t>SA (12/28/2005)     VA (05/27/2016)</t>
  </si>
  <si>
    <t>SA (12/28/2005)</t>
  </si>
  <si>
    <t>SA (09/29/2016)     VA (05/27/2016)</t>
  </si>
  <si>
    <t>Liberty County</t>
  </si>
  <si>
    <t>SA (09/30/2015)     VA (05/30/2016)</t>
  </si>
  <si>
    <t>Lincoln County Health Department</t>
  </si>
  <si>
    <t>SA (09/09/2010)     VA (05/27/2016)</t>
  </si>
  <si>
    <t>Madison County Environmental Health</t>
  </si>
  <si>
    <t>Meagher County</t>
  </si>
  <si>
    <t>SA (05/17/2004)</t>
  </si>
  <si>
    <t>SA (01/26/2008)</t>
  </si>
  <si>
    <t>SA (12/26/2007)     VA (12/12/2012)</t>
  </si>
  <si>
    <t>SA (12/26/2007)</t>
  </si>
  <si>
    <t>SA (03/11/2015)     VA (05/27/2016)</t>
  </si>
  <si>
    <t>SA (03/11/2015)     VA (08/31/2016)</t>
  </si>
  <si>
    <t>SA (03/11/2015)</t>
  </si>
  <si>
    <t>Ravalli County</t>
  </si>
  <si>
    <t>SA (07/16/2010)</t>
  </si>
  <si>
    <t>SA (06/30/2004)     VA (05/31/2012)</t>
  </si>
  <si>
    <t>SA (07/10/2012)     VA (10/20/2014)</t>
  </si>
  <si>
    <t>SA (05/04/2017)     VA (05/27/2016)</t>
  </si>
  <si>
    <t>SA (11/29/2017)     VA (01/10/2018)</t>
  </si>
  <si>
    <t>SA (05/04/2017)     VA (06/09/2017)</t>
  </si>
  <si>
    <t>SA (05/04/2017)     VA (10/16/2014)</t>
  </si>
  <si>
    <t>SA (05/04/2017)     VA (10/17/2014)</t>
  </si>
  <si>
    <t>SA (09/30/2015)     VA (05/27/2016)</t>
  </si>
  <si>
    <t>SA (07/05/2012)</t>
  </si>
  <si>
    <t>Sheridan County Environmental Health</t>
  </si>
  <si>
    <t>Stephanie Moodry</t>
  </si>
  <si>
    <t>Teton County Environmental Health</t>
  </si>
  <si>
    <t>Tri County Environmental Health</t>
  </si>
  <si>
    <t>SA (02/25/2008)</t>
  </si>
  <si>
    <t>SA (09/25/2017)     VA (10/11/2017)</t>
  </si>
  <si>
    <t>SA (09/30/2015)</t>
  </si>
  <si>
    <t>Valley County Environmental Health</t>
  </si>
  <si>
    <t>SA (09/06/2007)</t>
  </si>
  <si>
    <t>MONTANA</t>
  </si>
  <si>
    <t>Standards Achieved [as determined by a Self-Assessment (SA) and Verification Audit (VA)] for Montana</t>
  </si>
  <si>
    <t>Central District Health Department (Grand Island)</t>
  </si>
  <si>
    <t>SA (04/02/2007)</t>
  </si>
  <si>
    <t>SA (06/16/2010)</t>
  </si>
  <si>
    <t>SA (02/07/2006)</t>
  </si>
  <si>
    <t>SA (09/30/2016)     VA (06/14/2017)</t>
  </si>
  <si>
    <t>SA (09/30/2018)     VA (10/31/2018)</t>
  </si>
  <si>
    <t>SA (09/30/2018)     VA (11/30/2018)</t>
  </si>
  <si>
    <t>SA (08/19/2002)     VA (06/15/2012)</t>
  </si>
  <si>
    <t>SA (08/19/2002)     VA (09/15/2008)</t>
  </si>
  <si>
    <t>SA (08/19/2002)</t>
  </si>
  <si>
    <t>SA (08/19/2002)     VA (05/30/2012)</t>
  </si>
  <si>
    <t>SA (08/19/2002)     VA (07/30/2004)</t>
  </si>
  <si>
    <t>SA (06/15/2010)     VA (06/15/2012)</t>
  </si>
  <si>
    <t>SA (06/15/2010)     VA (06/10/2010)</t>
  </si>
  <si>
    <t>SA (06/15/2010)     VA (06/17/2014)</t>
  </si>
  <si>
    <t>SA (06/15/2010)     VA (06/20/2013)</t>
  </si>
  <si>
    <t>SA (06/15/2010)     VA (04/29/2010)</t>
  </si>
  <si>
    <t>SA (06/15/2010)     VA (05/31/2012)</t>
  </si>
  <si>
    <t>SA (06/15/2010)     VA (05/30/2012)</t>
  </si>
  <si>
    <t>SA (07/25/2017)     VA (09/05/2017)</t>
  </si>
  <si>
    <t>SA (06/28/2016)     VA (08/03/2016)</t>
  </si>
  <si>
    <t>SA (06/28/2016)     VA (06/17/2014)</t>
  </si>
  <si>
    <t>SA (06/28/2016)     VA (06/20/2013)</t>
  </si>
  <si>
    <t>SA (07/17/2018)     VA (08/15/2018)</t>
  </si>
  <si>
    <t>SA (08/10/2017)     VA (10/23/2017)</t>
  </si>
  <si>
    <t>Nebraska Department of Agriculture</t>
  </si>
  <si>
    <t>SA (07/16/2002)</t>
  </si>
  <si>
    <t>SA (08/20/2009)     VA (06/29/2012)</t>
  </si>
  <si>
    <t>SA (08/20/2009)     VA (06/12/2012)</t>
  </si>
  <si>
    <t>SA (08/20/2009)     VA (04/14/2011)</t>
  </si>
  <si>
    <t>SA (08/23/2016)</t>
  </si>
  <si>
    <t>SA (01/09/2006)</t>
  </si>
  <si>
    <t>NEBRASKA</t>
  </si>
  <si>
    <t>Standards Achieved [as determined by a Self-Assessment (SA) and Verification Audit (VA)] for Nebraska</t>
  </si>
  <si>
    <t>SA (07/11/2006)</t>
  </si>
  <si>
    <t>SA (10/03/2016)</t>
  </si>
  <si>
    <t>SA (06/04/2015)     VA (11/13/2015)</t>
  </si>
  <si>
    <t>SA (03/28/2006)</t>
  </si>
  <si>
    <t>SA (11/17/2014)</t>
  </si>
  <si>
    <t>SA (12/06/2005)</t>
  </si>
  <si>
    <t>SA (05/21/2012)     VA (03/07/2012)</t>
  </si>
  <si>
    <t>SA (10/03/2016)     VA (03/02/2017)</t>
  </si>
  <si>
    <t>SA (10/03/2016)     VA (01/31/2017)</t>
  </si>
  <si>
    <t>NEVADA</t>
  </si>
  <si>
    <t>Standards Achieved [as determined by a Self-Assessment (SA) and Verification Audit (VA)] for Nevada</t>
  </si>
  <si>
    <t>City of Claremont NH, Health Department</t>
  </si>
  <si>
    <t>Exeter NH Health Department</t>
  </si>
  <si>
    <t>SA (03/29/2006)</t>
  </si>
  <si>
    <t>SA (03/29/2006)     VA (05/07/2009)</t>
  </si>
  <si>
    <t>SA (04/23/2012)     VA (04/26/2012)</t>
  </si>
  <si>
    <t>SA (03/30/2017)     VA (04/07/2017)</t>
  </si>
  <si>
    <t>SA (06/05/2013)     VA (08/28/2013)</t>
  </si>
  <si>
    <t>SA (02/14/2019)</t>
  </si>
  <si>
    <t>Salem NH Health Department</t>
  </si>
  <si>
    <t>SA (04/27/2006)     VA (05/21/2009)</t>
  </si>
  <si>
    <t>SA (05/14/2012)     VA (05/15/2012)</t>
  </si>
  <si>
    <t>SA (05/15/2017)     VA (06/29/2017)</t>
  </si>
  <si>
    <t>NEW HAMPSHIRE</t>
  </si>
  <si>
    <t>Standards Achieved [as determined by a Self-Assessment (SA) and Verification Audit (VA)] for New Hampshire</t>
  </si>
  <si>
    <t>Atlantic City Department of Health</t>
  </si>
  <si>
    <t>Camden County Department of Health &amp; Human Services</t>
  </si>
  <si>
    <t>City of Clifton</t>
  </si>
  <si>
    <t>John E. Biegel III</t>
  </si>
  <si>
    <t>City of Englewood Dept. of Health</t>
  </si>
  <si>
    <t>SA (11/07/2017)</t>
  </si>
  <si>
    <t>SA (08/25/2015)     VA (03/16/2016)</t>
  </si>
  <si>
    <t>City of Vineland Department of Health</t>
  </si>
  <si>
    <t>SA (06/15/2004)     VA (10/22/2012)</t>
  </si>
  <si>
    <t>SA (06/15/2004)     VA (10/23/2012)</t>
  </si>
  <si>
    <t>SA (06/15/2004)     VA (01/13/2016)</t>
  </si>
  <si>
    <t>SA (04/06/2016)     VA (04/12/2016)</t>
  </si>
  <si>
    <t>SA (02/28/2017)     VA (05/09/2017)</t>
  </si>
  <si>
    <t>SA (04/06/2016)     VA (04/06/2016)</t>
  </si>
  <si>
    <t>SA (08/29/2017)     VA (11/29/2017)</t>
  </si>
  <si>
    <t>SA (11/21/2017)     VA (11/29/2017)</t>
  </si>
  <si>
    <t>SA (08/31/2017)</t>
  </si>
  <si>
    <t>Middlesex County Office of Health Services</t>
  </si>
  <si>
    <t>SA (06/18/2013)     VA (06/28/2013)</t>
  </si>
  <si>
    <t>New Jersey Department of Health (Public Health &amp; Food Protection Program)</t>
  </si>
  <si>
    <t>Sue Portuese</t>
  </si>
  <si>
    <t>Westfield Regional Health Department</t>
  </si>
  <si>
    <t>NEW JERSEY</t>
  </si>
  <si>
    <t>Standards Achieved [as determined by a Self-Assessment (SA) and Verification Audit (VA)] for New Jersey</t>
  </si>
  <si>
    <t>SA (02/01/2010)     VA (04/16/2013)</t>
  </si>
  <si>
    <t>SA (02/01/2010)     VA (02/18/2011)</t>
  </si>
  <si>
    <t>SA (02/01/2010)     VA (03/05/2015)</t>
  </si>
  <si>
    <t>SA (08/15/2006)     VA (02/11/2011)</t>
  </si>
  <si>
    <t>SA (06/12/2012)     VA (06/12/2012)</t>
  </si>
  <si>
    <t>SA (06/12/2012)     VA (05/02/2013)</t>
  </si>
  <si>
    <t>SA (06/12/2012)     VA (09/29/2014)</t>
  </si>
  <si>
    <t>SA (02/27/2003)</t>
  </si>
  <si>
    <t>SA (01/01/2016)     VA (05/03/2016)</t>
  </si>
  <si>
    <t>SA (01/18/2017)</t>
  </si>
  <si>
    <t>SA (01/26/2018)     VA (07/19/2018)</t>
  </si>
  <si>
    <t>SA (01/01/2016)     VA (06/28/2016)</t>
  </si>
  <si>
    <t>State of New Mexico Environment Department</t>
  </si>
  <si>
    <t>SA (08/22/2005)</t>
  </si>
  <si>
    <t>NEW MEXICO</t>
  </si>
  <si>
    <t>Standards Achieved [as determined by a Self-Assessment (SA) and Verification Audit (VA)] for New Mexico</t>
  </si>
  <si>
    <t>SA (05/21/2014)     VA (06/18/2014)</t>
  </si>
  <si>
    <t>SA (01/25/2016)     VA (02/17/2016)</t>
  </si>
  <si>
    <t>SA (03/13/2017)     VA (04/07/2017)</t>
  </si>
  <si>
    <t>SA (05/30/2017)</t>
  </si>
  <si>
    <t>SA (06/05/2017)</t>
  </si>
  <si>
    <t>NEW YORK</t>
  </si>
  <si>
    <t>Standards Achieved [as determined by a Self-Assessment (SA) and Verification Audit (VA)] for New York</t>
  </si>
  <si>
    <t>SA (05/12/2011)     VA (07/30/2013)</t>
  </si>
  <si>
    <t>SA (05/12/2011)     VA (02/13/2013)</t>
  </si>
  <si>
    <t>SA (06/20/2012)     VA (12/20/2012)</t>
  </si>
  <si>
    <t>SA (06/15/2016)     VA (04/19/2017)</t>
  </si>
  <si>
    <t>SA (06/15/2016)     VA (09/13/2017)</t>
  </si>
  <si>
    <t>SA (06/15/2016)     VA (12/13/2018)</t>
  </si>
  <si>
    <t>SA (03/30/2016)</t>
  </si>
  <si>
    <t>Buncombe County Health and Human Services</t>
  </si>
  <si>
    <t>SA (09/01/2017)</t>
  </si>
  <si>
    <t>SA (03/17/2017)</t>
  </si>
  <si>
    <t>SA (09/15/2015)</t>
  </si>
  <si>
    <t>SA (03/01/2015)     VA (12/03/2015)</t>
  </si>
  <si>
    <t>SA (01/02/2018)     VA (01/25/2018)</t>
  </si>
  <si>
    <t>Caswell County Health Department</t>
  </si>
  <si>
    <t>Scott Carpenter</t>
  </si>
  <si>
    <t>SA (09/28/2016)</t>
  </si>
  <si>
    <t>SA (11/15/2018)     VA (11/15/2018)</t>
  </si>
  <si>
    <t>SA (12/31/2017)     VA (01/03/2018)</t>
  </si>
  <si>
    <t>Chatham County Health Department</t>
  </si>
  <si>
    <t>SA (07/02/2012)     VA (03/27/2015)</t>
  </si>
  <si>
    <t>Anne Lowry</t>
  </si>
  <si>
    <t>SA (08/28/2018)     VA (12/28/2018)</t>
  </si>
  <si>
    <t>SA (06/03/2010)     VA (10/02/2014)</t>
  </si>
  <si>
    <t>SA (06/03/2010)     VA (03/01/2012)</t>
  </si>
  <si>
    <t>SA (06/03/2010)     VA (06/18/2010)</t>
  </si>
  <si>
    <t>SA (06/03/2010)     VA (07/03/2013)</t>
  </si>
  <si>
    <t>Keith Jernigan</t>
  </si>
  <si>
    <t>Cumberland County Health Department</t>
  </si>
  <si>
    <t>SA (07/08/2015)     VA (06/21/2017)</t>
  </si>
  <si>
    <t>SA (01/11/2017)     VA (05/24/2017)</t>
  </si>
  <si>
    <t>SA (05/21/2014)     VA (09/23/2014)</t>
  </si>
  <si>
    <t>SA (05/21/2014)</t>
  </si>
  <si>
    <t>Durham County Health Departmnet</t>
  </si>
  <si>
    <t>SA (09/20/2018)</t>
  </si>
  <si>
    <t>Sheryl Emory</t>
  </si>
  <si>
    <t>Gaston County Health Department</t>
  </si>
  <si>
    <t>SA (06/22/2016)     VA (12/29/2016)</t>
  </si>
  <si>
    <t>SA (07/21/2016)     VA (05/04/2017)</t>
  </si>
  <si>
    <t>SA (03/21/2018)     VA (04/06/2018)</t>
  </si>
  <si>
    <t>SA (07/01/2014)     VA (10/28/2014)</t>
  </si>
  <si>
    <t>SA (07/14/2015)     VA (08/16/2015)</t>
  </si>
  <si>
    <t>Barbara Sutton</t>
  </si>
  <si>
    <t>SA (05/31/2016)</t>
  </si>
  <si>
    <t>Mecklenberg County Environmental Health</t>
  </si>
  <si>
    <t>SA (03/01/2011)     VA (07/31/2013)</t>
  </si>
  <si>
    <t>SA (03/01/2011)</t>
  </si>
  <si>
    <t>SA (03/01/2011)     VA (01/31/2013)</t>
  </si>
  <si>
    <t>SA (08/01/2017)</t>
  </si>
  <si>
    <t>SA (04/18/2013)     VA (07/05/2013)</t>
  </si>
  <si>
    <t>SA (04/18/2013)     VA (01/12/2017)</t>
  </si>
  <si>
    <t>SA (04/18/2013)     VA (07/24/2015)</t>
  </si>
  <si>
    <t>SA (04/18/2013)     VA (07/08/2015)</t>
  </si>
  <si>
    <t>North Carolina DHHS, DPH, Food Protection Branch</t>
  </si>
  <si>
    <t>SA (12/21/2005)     VA (06/08/2006)</t>
  </si>
  <si>
    <t>Melissa Ham</t>
  </si>
  <si>
    <t>SA (04/24/2011)     VA (06/16/2013)</t>
  </si>
  <si>
    <t>SA (04/24/2011)</t>
  </si>
  <si>
    <t>SA (09/22/2016)</t>
  </si>
  <si>
    <t>Orange County Health Department</t>
  </si>
  <si>
    <t>SA (08/27/2018)     VA (01/16/2019)</t>
  </si>
  <si>
    <t>SA (08/27/2018)</t>
  </si>
  <si>
    <t>Tammy Rodriguez</t>
  </si>
  <si>
    <t>SA (07/17/2014)</t>
  </si>
  <si>
    <t>SA (05/20/2013)     VA (11/14/2013)</t>
  </si>
  <si>
    <t>SA (03/27/2017)     VA (04/24/2017)</t>
  </si>
  <si>
    <t>SA (05/20/2013)     VA (09/15/2014)</t>
  </si>
  <si>
    <t>SA (05/20/2013)     VA (03/02/2015)</t>
  </si>
  <si>
    <t>SA (01/10/2018)</t>
  </si>
  <si>
    <t>SA (07/14/2014)     VA (08/31/2015)</t>
  </si>
  <si>
    <t>SA (06/21/2018)     VA (07/27/2018)</t>
  </si>
  <si>
    <t>SA (07/14/2014)     VA (11/22/2016)</t>
  </si>
  <si>
    <t>SA (07/14/2014)     VA (10/14/2015)</t>
  </si>
  <si>
    <t>SA (05/01/2017)     VA (05/25/2017)</t>
  </si>
  <si>
    <t>SA (08/27/2015)     VA (02/18/2016)</t>
  </si>
  <si>
    <t>SA (08/21/2018)</t>
  </si>
  <si>
    <t>SA (08/27/2015)     VA (05/19/2016)</t>
  </si>
  <si>
    <t>SA (07/31/2017)     VA (10/12/2017)</t>
  </si>
  <si>
    <t>SA (12/18/2012)     VA (05/21/2015)</t>
  </si>
  <si>
    <t>David Ezzell</t>
  </si>
  <si>
    <t>SA (09/21/2015)</t>
  </si>
  <si>
    <t>SA (06/19/2008)</t>
  </si>
  <si>
    <t>SA (06/19/2008)     VA (06/19/2012)</t>
  </si>
  <si>
    <t>SA (06/19/2008)     VA (06/25/2010)</t>
  </si>
  <si>
    <t>Ellen Reynolds</t>
  </si>
  <si>
    <t>SA (03/30/2015)</t>
  </si>
  <si>
    <t>SA (08/27/2018)     VA (10/04/2018)</t>
  </si>
  <si>
    <t>SA (06/29/2009)     VA (07/01/2013)</t>
  </si>
  <si>
    <t>SA (06/29/2009)     VA (09/20/2010)</t>
  </si>
  <si>
    <t>SA (06/29/2009)     VA (09/25/2009)</t>
  </si>
  <si>
    <t>SA (06/29/2009)     VA (09/17/2010)</t>
  </si>
  <si>
    <t>Andre Pierce</t>
  </si>
  <si>
    <t>SA (08/22/2014)     VA (04/16/2015)</t>
  </si>
  <si>
    <t>SA (08/22/2014)     VA (09/08/2016)</t>
  </si>
  <si>
    <t>SA (08/22/2014)     VA (08/08/2016)</t>
  </si>
  <si>
    <t>SA (08/22/2014)     VA (11/13/2015)</t>
  </si>
  <si>
    <t>SA (08/22/2014)     VA (12/22/2015)</t>
  </si>
  <si>
    <t>SA (09/02/2014)     VA (01/15/2016)</t>
  </si>
  <si>
    <t>SA (09/02/2014)     VA (11/21/2018)</t>
  </si>
  <si>
    <t>SA (08/01/2017)     VA (09/12/2017)</t>
  </si>
  <si>
    <t>SA (09/02/2014)     VA (09/15/2015)</t>
  </si>
  <si>
    <t>SA (09/02/2014)     VA (05/15/2017)</t>
  </si>
  <si>
    <t>NORTH CAROLINA</t>
  </si>
  <si>
    <t>Standards Achieved [as determined by a Self-Assessment (SA) and Verification Audit (VA)] for North Carolina</t>
  </si>
  <si>
    <t>Custer Health Department</t>
  </si>
  <si>
    <t>SA (05/01/2012)</t>
  </si>
  <si>
    <t>SA (05/01/2012)     VA (09/30/2014)</t>
  </si>
  <si>
    <t>SA (04/26/2017)</t>
  </si>
  <si>
    <t>First District Health Unit</t>
  </si>
  <si>
    <t>SA (03/06/2019)</t>
  </si>
  <si>
    <t>Grand Forks Public Health Department</t>
  </si>
  <si>
    <t>North Dakota Department of Health</t>
  </si>
  <si>
    <t>SA (12/28/2018)</t>
  </si>
  <si>
    <t>NORTH DAKOTA</t>
  </si>
  <si>
    <t>Standards Achieved [as determined by a Self-Assessment (SA) and Verification Audit (VA)] for North Dakota</t>
  </si>
  <si>
    <t>Commonwealth Northern Mariana Islands (Saipan)</t>
  </si>
  <si>
    <t>SA (09/11/2003)</t>
  </si>
  <si>
    <t>NORTHERN MARIANA ISLANDS</t>
  </si>
  <si>
    <t>Standards Achieved [as determined by a Self-Assessment (SA) and Verification Audit (VA)] for Northern Mariana Islands</t>
  </si>
  <si>
    <t>SA (08/17/2009)     VA (09/30/2011)</t>
  </si>
  <si>
    <t>SA (12/04/2014)     VA (05/21/2015)</t>
  </si>
  <si>
    <t>SA (12/04/2014)     VA (06/28/2016)</t>
  </si>
  <si>
    <t>Cleveland Dept of Public Health</t>
  </si>
  <si>
    <t>SA (04/09/2010)</t>
  </si>
  <si>
    <t>Rick Melendez</t>
  </si>
  <si>
    <t>SA (08/15/2016)</t>
  </si>
  <si>
    <t>SA (09/02/2014)</t>
  </si>
  <si>
    <t>Huron County Public Health</t>
  </si>
  <si>
    <t>Kent City Health Department</t>
  </si>
  <si>
    <t>SA (08/19/2016)</t>
  </si>
  <si>
    <t>Lake County General Health District</t>
  </si>
  <si>
    <t>SA (03/12/2013)     VA (07/01/2015)</t>
  </si>
  <si>
    <t>SA (05/30/2018)     VA (07/16/2018)</t>
  </si>
  <si>
    <t>Licking County Health Department</t>
  </si>
  <si>
    <t>SA (08/26/2016)</t>
  </si>
  <si>
    <t>SA (06/27/2013)     VA (05/16/2015)</t>
  </si>
  <si>
    <t>SA (06/27/2013)     VA (05/26/2015)</t>
  </si>
  <si>
    <t>SA (11/30/2017)     VA (01/05/2018)</t>
  </si>
  <si>
    <t>Marion Public Health</t>
  </si>
  <si>
    <t>SA (06/24/2004)</t>
  </si>
  <si>
    <t>Summit County Combined General Health</t>
  </si>
  <si>
    <t>SA (06/04/2013)</t>
  </si>
  <si>
    <t>SA (06/04/2013)     VA (09/16/2014)</t>
  </si>
  <si>
    <t>Union County Health Department</t>
  </si>
  <si>
    <t>SA (10/19/2018)</t>
  </si>
  <si>
    <t>OHIO</t>
  </si>
  <si>
    <t>Standards Achieved [as determined by a Self-Assessment (SA) and Verification Audit (VA)] for Ohio</t>
  </si>
  <si>
    <t>SA (12/29/2008)     VA (10/30/2011)</t>
  </si>
  <si>
    <t>SA (12/29/2008)     VA (06/21/2012)</t>
  </si>
  <si>
    <t>SA (12/29/2008)     VA (12/22/2011)</t>
  </si>
  <si>
    <t>SA (08/22/2014)     VA (08/20/2014)</t>
  </si>
  <si>
    <t>SA (10/12/2004)</t>
  </si>
  <si>
    <t>Otoe-Missouria Gaming Commission</t>
  </si>
  <si>
    <t>SA (11/21/2002)     VA (03/15/2006)</t>
  </si>
  <si>
    <t>SA (11/21/2002)     VA (11/15/2005)</t>
  </si>
  <si>
    <t>SA (12/10/2010)</t>
  </si>
  <si>
    <t>SA (04/27/2014)</t>
  </si>
  <si>
    <t>SA (12/10/2010)     VA (06/08/2012)</t>
  </si>
  <si>
    <t>OKLAHOMA</t>
  </si>
  <si>
    <t>Standards Achieved [as determined by a Self-Assessment (SA) and Verification Audit (VA)] for Oklahoma</t>
  </si>
  <si>
    <t>Bill Emminger</t>
  </si>
  <si>
    <t>SA (03/03/2015)</t>
  </si>
  <si>
    <t>Rick Hallmark</t>
  </si>
  <si>
    <t>SA (10/20/2015)</t>
  </si>
  <si>
    <t>Eric Mone</t>
  </si>
  <si>
    <t>SA (03/14/2007)     VA (08/26/2009)</t>
  </si>
  <si>
    <t>SA (03/14/2007)     VA (07/07/2010)</t>
  </si>
  <si>
    <t>SA (06/01/2018)     VA (06/01/2018)</t>
  </si>
  <si>
    <t>Rick Partipilo</t>
  </si>
  <si>
    <t>SA (11/15/2006)     VA (07/21/2005)</t>
  </si>
  <si>
    <t>SA (11/15/2006)     VA (08/12/2004)</t>
  </si>
  <si>
    <t>SA (07/12/2012)     VA (11/09/2012)</t>
  </si>
  <si>
    <t>Oregon Department of Agriculture</t>
  </si>
  <si>
    <t>SA (08/01/2002)</t>
  </si>
  <si>
    <t>SA (08/26/2009)     VA (08/26/2009)</t>
  </si>
  <si>
    <t>Washington County Department of Health</t>
  </si>
  <si>
    <t>SA (08/27/2004)</t>
  </si>
  <si>
    <t>SA (05/29/2012)     VA (05/29/2012)</t>
  </si>
  <si>
    <t>OREGON</t>
  </si>
  <si>
    <t>Standards Achieved [as determined by a Self-Assessment (SA) and Verification Audit (VA)] for Oregon</t>
  </si>
  <si>
    <t>SA (06/29/2006)</t>
  </si>
  <si>
    <t>SA (08/18/2014)</t>
  </si>
  <si>
    <t>SA (02/24/2015)     VA (03/12/2015)</t>
  </si>
  <si>
    <t>SA (02/24/2015)     VA (09/29/2015)</t>
  </si>
  <si>
    <t>Montgomery County Department of Health</t>
  </si>
  <si>
    <t>SA (06/20/2012)     VA (06/22/2012)</t>
  </si>
  <si>
    <t>SA (06/20/2012)</t>
  </si>
  <si>
    <t>SA (06/01/2016)</t>
  </si>
  <si>
    <t>Philadelphia Department of Public Health</t>
  </si>
  <si>
    <t>SA (06/27/2007)</t>
  </si>
  <si>
    <t>PENNSYLVANIA</t>
  </si>
  <si>
    <t>Standards Achieved [as determined by a Self-Assessment (SA) and Verification Audit (VA)] for Pennsylvania</t>
  </si>
  <si>
    <t>Puerto Rico Department of Health</t>
  </si>
  <si>
    <t>SA (09/28/2007)</t>
  </si>
  <si>
    <t>SA (05/28/2009)     VA (05/14/2014)</t>
  </si>
  <si>
    <t>SA (05/28/2009)     VA (04/07/2014)</t>
  </si>
  <si>
    <t>SA (05/28/2009)     VA (04/22/2014)</t>
  </si>
  <si>
    <t>PUERTO RICO</t>
  </si>
  <si>
    <t>Standards Achieved [as determined by a Self-Assessment (SA) and Verification Audit (VA)] for Puerto Rico</t>
  </si>
  <si>
    <t>SA (08/01/2004)     VA (12/07/2007)</t>
  </si>
  <si>
    <t>SA (06/14/2012)</t>
  </si>
  <si>
    <t>SA (08/10/2016)     VA (08/01/2017)</t>
  </si>
  <si>
    <t>SA (08/10/2016)</t>
  </si>
  <si>
    <t>Catherine Payne-Feeney</t>
  </si>
  <si>
    <t>RHODE ISLAND</t>
  </si>
  <si>
    <t>Standards Achieved [as determined by a Self-Assessment (SA) and Verification Audit (VA)] for Rhode Island</t>
  </si>
  <si>
    <t>SA (10/29/2009)     VA (09/17/2011)</t>
  </si>
  <si>
    <t>SA (07/09/2015)</t>
  </si>
  <si>
    <t>SA (07/09/2015)     VA (04/12/2018)</t>
  </si>
  <si>
    <t>SA (07/09/2015)     VA (04/02/2018)</t>
  </si>
  <si>
    <t>SOUTH CAROLINA</t>
  </si>
  <si>
    <t>Standards Achieved [as determined by a Self-Assessment (SA) and Verification Audit (VA)] for South Carolina</t>
  </si>
  <si>
    <t>Sioux Falls Health Department</t>
  </si>
  <si>
    <t>Jill Franken</t>
  </si>
  <si>
    <t>SOUTH DAKOTA</t>
  </si>
  <si>
    <t>Standards Achieved [as determined by a Self-Assessment (SA) and Verification Audit (VA)] for South Dakota</t>
  </si>
  <si>
    <t>Chattanooga-Hamilton Co. Health Department</t>
  </si>
  <si>
    <t>SA (08/31/2016)     VA (12/12/2016)</t>
  </si>
  <si>
    <t>SA (08/24/2017)     VA (08/25/2017)</t>
  </si>
  <si>
    <t>SA (09/01/2016)     VA (07/20/2017)</t>
  </si>
  <si>
    <t>Knox County Health Department</t>
  </si>
  <si>
    <t>SA (08/31/2016)     VA (02/13/2017)</t>
  </si>
  <si>
    <t>SA (08/31/2016)     VA (02/28/2017)</t>
  </si>
  <si>
    <t>SA (08/31/2016)     VA (02/14/2017)</t>
  </si>
  <si>
    <t>SA (08/31/2016)     VA (11/29/2016)</t>
  </si>
  <si>
    <t>SA (02/28/2003)     VA (01/25/2007)</t>
  </si>
  <si>
    <t>SA (12/28/2012)</t>
  </si>
  <si>
    <t>SA (08/31/2016)     VA (06/15/2017)</t>
  </si>
  <si>
    <t>SA (08/31/2016)     VA (11/01/2018)</t>
  </si>
  <si>
    <t>SA (10/17/2007)     VA (11/01/2010)</t>
  </si>
  <si>
    <t>SA (08/31/2016)</t>
  </si>
  <si>
    <t>State of Tennessee Department of Public Health</t>
  </si>
  <si>
    <t>SA (12/11/2009)     VA (06/21/2010)</t>
  </si>
  <si>
    <t>SA (08/31/2016)     VA (03/14/2017)</t>
  </si>
  <si>
    <t>SA (08/31/2016)     VA (03/24/2017)</t>
  </si>
  <si>
    <t>TENNESSEE</t>
  </si>
  <si>
    <t>Standards Achieved [as determined by a Self-Assessment (SA) and Verification Audit (VA)] for Tennessee</t>
  </si>
  <si>
    <t>SA (10/05/2018)</t>
  </si>
  <si>
    <t>SA (01/01/2007)</t>
  </si>
  <si>
    <t>SA (01/01/2007)     VA (04/23/2013)</t>
  </si>
  <si>
    <t>SA (01/01/2007)     VA (06/04/2013)</t>
  </si>
  <si>
    <t>SA (01/01/2007)     VA (12/20/2013)</t>
  </si>
  <si>
    <t>SA (12/22/2017)</t>
  </si>
  <si>
    <t>SA (12/12/2017)     VA (07/16/2018)</t>
  </si>
  <si>
    <t>SA (04/02/2019)     VA (04/15/2019)</t>
  </si>
  <si>
    <t>SA (03/02/2018)     VA (05/03/2018)</t>
  </si>
  <si>
    <t>SA (12/12/2017)     VA (05/03/2018)</t>
  </si>
  <si>
    <t>SA (02/05/2007)</t>
  </si>
  <si>
    <t>SA (01/11/2008)     VA (05/31/2011)</t>
  </si>
  <si>
    <t>SA (10/15/2010)     VA (09/13/2013)</t>
  </si>
  <si>
    <t>SA (10/15/2010)     VA (05/31/2011)</t>
  </si>
  <si>
    <t>SA (02/07/2007)     VA (02/07/2007)</t>
  </si>
  <si>
    <t>SA (10/06/2006)</t>
  </si>
  <si>
    <t>City of Carrollton</t>
  </si>
  <si>
    <t>SA (04/24/2006)</t>
  </si>
  <si>
    <t>SA (01/20/2006)     VA (02/09/2011)</t>
  </si>
  <si>
    <t>SA (01/20/2006)     VA (02/07/2007)</t>
  </si>
  <si>
    <t>SA (06/19/2006)     VA (06/19/2006)</t>
  </si>
  <si>
    <t>SA (08/28/2006)</t>
  </si>
  <si>
    <t>SA (09/07/2007)     VA (09/07/2007)</t>
  </si>
  <si>
    <t>SA (01/28/2003)</t>
  </si>
  <si>
    <t>SA (08/30/2009)     VA (04/02/2010)</t>
  </si>
  <si>
    <t>SA (08/30/2009)     VA (06/04/2012)</t>
  </si>
  <si>
    <t>SA (02/09/2018)</t>
  </si>
  <si>
    <t>SA (10/07/2014)</t>
  </si>
  <si>
    <t>SA (04/23/2014)</t>
  </si>
  <si>
    <t>SA (05/02/2018)     VA (05/02/2018)</t>
  </si>
  <si>
    <t>SA (06/29/2004)</t>
  </si>
  <si>
    <t>SA (11/24/2008)</t>
  </si>
  <si>
    <t>SA (08/31/2006)</t>
  </si>
  <si>
    <t>SA (07/03/2007)</t>
  </si>
  <si>
    <t>SA (08/02/2002)     VA (08/29/2006)</t>
  </si>
  <si>
    <t>SA (08/02/2002)     VA (10/19/2004)</t>
  </si>
  <si>
    <t>SA (06/12/2017)</t>
  </si>
  <si>
    <t>SA (06/16/2017)</t>
  </si>
  <si>
    <t>SA (03/31/2017)</t>
  </si>
  <si>
    <t>SA (06/19/2017)</t>
  </si>
  <si>
    <t>SA (06/20/2017)</t>
  </si>
  <si>
    <t>SA (07/31/2007)</t>
  </si>
  <si>
    <t>Ralph Cisneros Jr.</t>
  </si>
  <si>
    <t>SA (12/31/2006)</t>
  </si>
  <si>
    <t>SA (08/10/2007)</t>
  </si>
  <si>
    <t>SA (07/21/2017)     VA (08/31/2017)</t>
  </si>
  <si>
    <t>SA (08/17/2017)     VA (08/31/2017)</t>
  </si>
  <si>
    <t>SA (07/28/2017)     VA (08/31/2017)</t>
  </si>
  <si>
    <t>SA (11/17/2010)</t>
  </si>
  <si>
    <t>SA (06/30/2006)</t>
  </si>
  <si>
    <t>SA (12/07/2007)</t>
  </si>
  <si>
    <t>SA (02/02/2010)</t>
  </si>
  <si>
    <t>SA (06/12/2002)     VA (01/20/2005)</t>
  </si>
  <si>
    <t>SA (06/12/2002)     VA (05/26/2005)</t>
  </si>
  <si>
    <t>SA (06/30/2010)     VA (04/23/2013)</t>
  </si>
  <si>
    <t>SA (09/22/2015)</t>
  </si>
  <si>
    <t>SA (09/22/2015)     VA (10/20/2016)</t>
  </si>
  <si>
    <t>SA (06/06/2006)</t>
  </si>
  <si>
    <t>SA (09/26/2006)</t>
  </si>
  <si>
    <t>SA (03/05/2018)     VA (03/08/2018)</t>
  </si>
  <si>
    <t>SA (05/03/2013)     VA (04/25/2016)</t>
  </si>
  <si>
    <t>Donna Bateman</t>
  </si>
  <si>
    <t>Harvey Ausbie</t>
  </si>
  <si>
    <t>Dallas County Health &amp; Human Services</t>
  </si>
  <si>
    <t>Gino Solla</t>
  </si>
  <si>
    <t>SA (09/12/2010)</t>
  </si>
  <si>
    <t>SA (06/26/2006)</t>
  </si>
  <si>
    <t>SA (11/29/2006)</t>
  </si>
  <si>
    <t>Hardin County Health Department</t>
  </si>
  <si>
    <t>SA (02/21/2003)     VA (08/29/2006)</t>
  </si>
  <si>
    <t>SA (02/25/2013)     VA (03/05/2013)</t>
  </si>
  <si>
    <t>SA (10/01/2013)     VA (10/03/2013)</t>
  </si>
  <si>
    <t>SA (09/03/2014)     VA (09/03/2014)</t>
  </si>
  <si>
    <t>SA (05/12/2013)</t>
  </si>
  <si>
    <t>SA (12/18/2017)     VA (12/31/2017)</t>
  </si>
  <si>
    <t>SA (09/25/2015)     VA (09/28/2015)</t>
  </si>
  <si>
    <t>SA (06/12/2015)     VA (08/07/2015)</t>
  </si>
  <si>
    <t>SA (09/30/2014)     VA (09/30/2014)</t>
  </si>
  <si>
    <t>SA (09/25/2015)     VA (09/29/2015)</t>
  </si>
  <si>
    <t>SA (09/10/2015)     VA (09/23/2015)</t>
  </si>
  <si>
    <t>Jasper-Newton County Public Health District</t>
  </si>
  <si>
    <t>SA (11/12/2009)</t>
  </si>
  <si>
    <t>SA (07/21/2005)     VA (08/16/2007)</t>
  </si>
  <si>
    <t>SA (07/21/2005)     VA (09/09/2008)</t>
  </si>
  <si>
    <t>SA (07/21/2005)     VA (11/15/2007)</t>
  </si>
  <si>
    <t>SA (03/21/2014)     VA (03/04/2016)</t>
  </si>
  <si>
    <t>SA (03/21/2014)     VA (07/02/2014)</t>
  </si>
  <si>
    <t>Town of Addison - Environmental Services Div</t>
  </si>
  <si>
    <t>SA (02/27/2012)     VA (07/22/2012)</t>
  </si>
  <si>
    <t>SA (02/27/2012)     VA (03/28/2016)</t>
  </si>
  <si>
    <t>SA (02/27/2012)     VA (03/25/2016)</t>
  </si>
  <si>
    <t>SA (02/27/2012)     VA (03/24/2016)</t>
  </si>
  <si>
    <t>SA (02/27/2015)     VA (03/28/2016)</t>
  </si>
  <si>
    <t>SA (03/30/2015)     VA (03/25/2016)</t>
  </si>
  <si>
    <t>SA (02/27/2015)     VA (03/24/2015)</t>
  </si>
  <si>
    <t>SA (11/10/2009)     VA (11/16/2012)</t>
  </si>
  <si>
    <t>SA (11/12/2012)     VA (11/16/2012)</t>
  </si>
  <si>
    <t>SA (12/21/2017)     VA (12/22/2017)</t>
  </si>
  <si>
    <t>SA (04/29/2016)</t>
  </si>
  <si>
    <t>TEXAS</t>
  </si>
  <si>
    <t>Standards Achieved [as determined by a Self-Assessment (SA) and Verification Audit (VA)] for Texas</t>
  </si>
  <si>
    <t>SA (05/12/2011)     VA (05/12/2011)</t>
  </si>
  <si>
    <t>SA (05/12/2011)     VA (02/20/2013)</t>
  </si>
  <si>
    <t>SA (05/12/2011)     VA (06/16/2014)</t>
  </si>
  <si>
    <t>SA (08/02/2009)</t>
  </si>
  <si>
    <t>SA (04/16/2016)     VA (10/26/2016)</t>
  </si>
  <si>
    <t>SA (11/20/2017)     VA (12/07/2017)</t>
  </si>
  <si>
    <t>SA (08/27/2018)     VA (08/30/2018)</t>
  </si>
  <si>
    <t>SA (02/10/2003)</t>
  </si>
  <si>
    <t>SA (02/10/2003)     VA (10/11/2011)</t>
  </si>
  <si>
    <t>Southeastern Utah District Health Dept.</t>
  </si>
  <si>
    <t>SA (02/07/2017)</t>
  </si>
  <si>
    <t>SA (02/21/2017)</t>
  </si>
  <si>
    <t>SA (03/14/2017)</t>
  </si>
  <si>
    <t>SA (08/08/2017)</t>
  </si>
  <si>
    <t>SA (06/25/2012)     VA (06/29/2012)</t>
  </si>
  <si>
    <t>SA (06/25/2012)     VA (08/26/2014)</t>
  </si>
  <si>
    <t>SA (11/03/2009)     VA (06/23/2010)</t>
  </si>
  <si>
    <t>SA (05/19/2016)     VA (05/25/2016)</t>
  </si>
  <si>
    <t>SA (08/30/2017)     VA (08/30/2017)</t>
  </si>
  <si>
    <t>SA (09/08/2017)     VA (09/12/2017)</t>
  </si>
  <si>
    <t>SA (03/22/2004)</t>
  </si>
  <si>
    <t>SA (05/28/2010)     VA (05/20/2010)</t>
  </si>
  <si>
    <t>SA (05/28/2010)</t>
  </si>
  <si>
    <t>SA (06/14/2012)     VA (06/18/2012)</t>
  </si>
  <si>
    <t>SA (09/23/2014)</t>
  </si>
  <si>
    <t>SA (09/17/2003)</t>
  </si>
  <si>
    <t>SA (11/04/2009)</t>
  </si>
  <si>
    <t>SA (05/02/2016)     VA (08/11/2016)</t>
  </si>
  <si>
    <t>Utah Department of Agriculture and Food</t>
  </si>
  <si>
    <t>SA (11/04/2009)     VA (08/11/2010)</t>
  </si>
  <si>
    <t>SA (11/04/2009)     VA (05/30/2013)</t>
  </si>
  <si>
    <t>SA (09/12/2015)     VA (09/17/2015)</t>
  </si>
  <si>
    <t>SA (11/04/2009)     VA (07/01/2013)</t>
  </si>
  <si>
    <t>SA (09/10/2015)     VA (09/24/2015)</t>
  </si>
  <si>
    <t>SA (12/04/2017)     VA (12/05/2017)</t>
  </si>
  <si>
    <t>SA (12/01/2009)     VA (05/20/2010)</t>
  </si>
  <si>
    <t>SA (12/01/2009)     VA (01/10/2012)</t>
  </si>
  <si>
    <t>SA (01/09/2015)     VA (05/27/2015)</t>
  </si>
  <si>
    <t>SA (02/25/2015)     VA (05/27/2015)</t>
  </si>
  <si>
    <t>SA (05/20/2015)     VA (05/27/2015)</t>
  </si>
  <si>
    <t>SA (09/14/2009)</t>
  </si>
  <si>
    <t>SA (01/20/2015)     VA (09/10/2015)</t>
  </si>
  <si>
    <t>SA (03/16/2015)     VA (09/10/2015)</t>
  </si>
  <si>
    <t>SA (10/24/2016)     VA (10/26/2016)</t>
  </si>
  <si>
    <t>SA (09/20/2016)     VA (09/20/2016)</t>
  </si>
  <si>
    <t>UTAH</t>
  </si>
  <si>
    <t>Standards Achieved [as determined by a Self-Assessment (SA) and Verification Audit (VA)] for Utah</t>
  </si>
  <si>
    <t>SA (06/30/2015)     VA (01/30/2017)</t>
  </si>
  <si>
    <t>SA (06/30/2015)     VA (01/22/2018)</t>
  </si>
  <si>
    <t>VERMONT</t>
  </si>
  <si>
    <t>Standards Achieved [as determined by a Self-Assessment (SA) and Verification Audit (VA)] for Vermont</t>
  </si>
  <si>
    <t>Virgin Islands Department of Health</t>
  </si>
  <si>
    <t>VIRGIN ISLAND</t>
  </si>
  <si>
    <t>Standards Achieved [as determined by a Self-Assessment (SA) and Verification Audit (VA)] for Virgin Island</t>
  </si>
  <si>
    <t>SA (10/31/2011)     VA (01/31/2012)</t>
  </si>
  <si>
    <t>SA (09/28/2016)     VA (11/07/2016)</t>
  </si>
  <si>
    <t>SA (09/28/2016)     VA (11/04/2016)</t>
  </si>
  <si>
    <t>SA (09/28/2016)     VA (12/01/2016)</t>
  </si>
  <si>
    <t>Central Shenandoah Health District  </t>
  </si>
  <si>
    <t>SA (04/04/2017)     VA (04/06/2017)</t>
  </si>
  <si>
    <t>Central Virginia Health District</t>
  </si>
  <si>
    <t>SA (07/01/2018)</t>
  </si>
  <si>
    <t>SA (07/02/2018)     VA (07/06/2018)</t>
  </si>
  <si>
    <t>Chesapeake Health Department</t>
  </si>
  <si>
    <t>Chickahominy Health District  </t>
  </si>
  <si>
    <t>SA (03/07/2017)</t>
  </si>
  <si>
    <t>SA (04/06/2017)     VA (04/06/2017)</t>
  </si>
  <si>
    <t>SA (03/01/2017)</t>
  </si>
  <si>
    <t>SA (12/08/2017)</t>
  </si>
  <si>
    <t>SA (06/07/2017)</t>
  </si>
  <si>
    <t>SA (09/12/2017)</t>
  </si>
  <si>
    <t>SA (11/12/2017)</t>
  </si>
  <si>
    <t>SA (12/07/2017)</t>
  </si>
  <si>
    <t>SA (05/31/2006)     VA (05/31/2006)</t>
  </si>
  <si>
    <t>SA (12/12/2012)     VA (08/26/2014)</t>
  </si>
  <si>
    <t>SA (12/12/2012)     VA (09/04/2015)</t>
  </si>
  <si>
    <t>SA (12/12/2012)     VA (03/03/2015)</t>
  </si>
  <si>
    <t>SA (12/12/2012)     VA (08/25/2014)</t>
  </si>
  <si>
    <t>SA (12/12/2012)     VA (08/30/2016)</t>
  </si>
  <si>
    <t>SA (12/01/2017)     VA (06/01/2018)</t>
  </si>
  <si>
    <t>SA (12/01/2017)     VA (06/06/2018)</t>
  </si>
  <si>
    <t>Hampton Health Department</t>
  </si>
  <si>
    <t>Henrico Health District</t>
  </si>
  <si>
    <t>Lenowisco Health Disrict</t>
  </si>
  <si>
    <t>SA (06/22/2012)     VA (06/22/2012)</t>
  </si>
  <si>
    <t>Victor Avitto</t>
  </si>
  <si>
    <t>New River Health District</t>
  </si>
  <si>
    <t>SA (09/13/2017)     VA (11/01/2017)</t>
  </si>
  <si>
    <t>SA (06/30/2016)     VA (05/05/2016)</t>
  </si>
  <si>
    <t>SA (12/12/2018)     VA (12/14/2018)</t>
  </si>
  <si>
    <t>Norfolk Department of Public Health</t>
  </si>
  <si>
    <t>Peninsula Health District</t>
  </si>
  <si>
    <t>SA (07/31/2014)     VA (12/15/2015)</t>
  </si>
  <si>
    <t>SA (08/04/2015)     VA (12/17/2015)</t>
  </si>
  <si>
    <t>SA (07/31/2014)     VA (12/17/2015)</t>
  </si>
  <si>
    <t>SA (03/28/2019)</t>
  </si>
  <si>
    <t>Rappahannock Rapidan Health District</t>
  </si>
  <si>
    <t>SA (03/30/2017)     VA (04/06/2017)</t>
  </si>
  <si>
    <t>SA (08/31/2014)     VA (03/12/2015)</t>
  </si>
  <si>
    <t>SA (08/31/2014)     VA (03/13/2015)</t>
  </si>
  <si>
    <t>Virginia Beach Department of Public Health</t>
  </si>
  <si>
    <t>SA (06/17/2016)     VA (12/12/2016)</t>
  </si>
  <si>
    <t>SA (07/06/2016)     VA (12/14/2016)</t>
  </si>
  <si>
    <t>SA (07/13/2016)     VA (12/14/2016)</t>
  </si>
  <si>
    <t>SA (08/03/2016)     VA (12/14/2016)</t>
  </si>
  <si>
    <t>SA (09/07/2016)     VA (12/14/2016)</t>
  </si>
  <si>
    <t>SA (10/12/2016)     VA (12/14/2016)</t>
  </si>
  <si>
    <t>SA (11/10/2016)     VA (12/14/2016)</t>
  </si>
  <si>
    <t>SA (12/01/2016)     VA (12/14/2016)</t>
  </si>
  <si>
    <t>SA (12/09/2016)     VA (12/14/2016)</t>
  </si>
  <si>
    <t>Virginia Department of Agriculture and Consumer Services</t>
  </si>
  <si>
    <t>SA (03/21/2012)     VA (03/25/2015)</t>
  </si>
  <si>
    <t>SA (03/21/2012)     VA (07/30/2014)</t>
  </si>
  <si>
    <t>SA (03/21/2012)     VA (06/22/2012)</t>
  </si>
  <si>
    <t>SA (07/01/2014)     VA (02/27/2015)</t>
  </si>
  <si>
    <t>SA (07/01/2014)     VA (03/25/2015)</t>
  </si>
  <si>
    <t>SA (07/01/2014)     VA (08/19/2016)</t>
  </si>
  <si>
    <t>SA (07/01/2014)     VA (03/21/2012)</t>
  </si>
  <si>
    <t>SA (04/03/2013)     VA (05/29/2012)</t>
  </si>
  <si>
    <t>SA (04/03/2013)</t>
  </si>
  <si>
    <t>SA (04/03/2013)     VA (11/19/2012)</t>
  </si>
  <si>
    <t>West Piedmont Health District</t>
  </si>
  <si>
    <t>VIRGINIA</t>
  </si>
  <si>
    <t>Standards Achieved [as determined by a Self-Assessment (SA) and Verification Audit (VA)] for Virginia</t>
  </si>
  <si>
    <t>SA (05/15/2015)</t>
  </si>
  <si>
    <t>SA (10/23/2018)     VA (11/01/2018)</t>
  </si>
  <si>
    <t>SA (10/15/2002)     VA (07/20/2005)</t>
  </si>
  <si>
    <t>SA (09/08/2016)     VA (03/06/2019)</t>
  </si>
  <si>
    <t>SA (09/08/2016)     VA (11/14/2018)</t>
  </si>
  <si>
    <t>SA (12/12/2017)     VA (02/08/2018)</t>
  </si>
  <si>
    <t>SA (04/09/2019)     VA (04/09/2019)</t>
  </si>
  <si>
    <t>SA (08/12/2016)     VA (09/13/2016)</t>
  </si>
  <si>
    <t>SA (08/08/2017)     VA (10/03/2018)</t>
  </si>
  <si>
    <t>Joseph Castelluccio</t>
  </si>
  <si>
    <t>SA (04/02/2004)     VA (06/16/2009)</t>
  </si>
  <si>
    <t>SA (06/24/2015)     VA (06/08/2016)</t>
  </si>
  <si>
    <t>SA (06/24/2015)     VA (03/11/2016)</t>
  </si>
  <si>
    <t>SA (06/24/2015)     VA (06/24/2015)</t>
  </si>
  <si>
    <t>SA (01/28/2019)     VA (03/14/2019)</t>
  </si>
  <si>
    <t>SA (05/04/2017)     VA (04/03/2019)</t>
  </si>
  <si>
    <t>SA (01/17/2019)     VA (01/31/2019)</t>
  </si>
  <si>
    <t>SA (01/27/2014)     VA (01/04/2017)</t>
  </si>
  <si>
    <t>SA (02/07/2019)     VA (02/07/2019)</t>
  </si>
  <si>
    <t>SA (02/07/2019)</t>
  </si>
  <si>
    <t>SA (06/21/2010)</t>
  </si>
  <si>
    <t>SA (05/05/2010)     VA (05/15/2012)</t>
  </si>
  <si>
    <t>WASHINGTON</t>
  </si>
  <si>
    <t>Standards Achieved [as determined by a Self-Assessment (SA) and Verification Audit (VA)] for Washington</t>
  </si>
  <si>
    <t>Adrian Gibson</t>
  </si>
  <si>
    <t>SA (12/12/2016)     VA (05/25/2017)</t>
  </si>
  <si>
    <t>SA (04/13/2018)     VA (05/03/2018)</t>
  </si>
  <si>
    <t>SA (08/01/2005)</t>
  </si>
  <si>
    <t>WASHINGTON D.C.</t>
  </si>
  <si>
    <t>Standards Achieved [as determined by a Self-Assessment (SA) and Verification Audit (VA)] for Washington D.C.</t>
  </si>
  <si>
    <t>Braxton County Health Department</t>
  </si>
  <si>
    <t>SA (11/06/2009)</t>
  </si>
  <si>
    <t>William C. Garrrett</t>
  </si>
  <si>
    <t>Jefferson County Health Dept</t>
  </si>
  <si>
    <t>Kanawha-Charleston Health Department</t>
  </si>
  <si>
    <t>Mid-Ohio Valley Health Department</t>
  </si>
  <si>
    <t>SA (03/04/2016)     VA (03/05/2016)</t>
  </si>
  <si>
    <t>SA (06/28/2012)     VA (02/01/2016)</t>
  </si>
  <si>
    <t>SA (08/28/2015)     VA (06/16/2017)</t>
  </si>
  <si>
    <t>SA (08/28/2015)     VA (03/16/2016)</t>
  </si>
  <si>
    <t>SA (08/28/2015)     VA (01/27/2016)</t>
  </si>
  <si>
    <t>SA (05/07/2017)     VA (05/07/2017)</t>
  </si>
  <si>
    <t>SA (04/26/2018)     VA (05/30/2018)</t>
  </si>
  <si>
    <t>SA (06/25/2008)     VA (12/02/2009)</t>
  </si>
  <si>
    <t>SA (06/25/2008)     VA (12/17/2009)</t>
  </si>
  <si>
    <t>SA (06/25/2008)</t>
  </si>
  <si>
    <t>SA (06/07/2013)     VA (02/15/2015)</t>
  </si>
  <si>
    <t>SA (06/07/2013)     VA (06/02/2014)</t>
  </si>
  <si>
    <t>SA (06/07/2013)     VA (02/10/2015)</t>
  </si>
  <si>
    <t>SA (06/07/2013)     VA (05/09/2016)</t>
  </si>
  <si>
    <t>SA (06/07/2013)     VA (06/01/2014)</t>
  </si>
  <si>
    <t>SA (06/07/2013)     VA (01/12/2016)</t>
  </si>
  <si>
    <t>SA (06/07/2013)     VA (05/29/2014)</t>
  </si>
  <si>
    <t>SA (10/16/2018)</t>
  </si>
  <si>
    <t>SA (02/21/2018)</t>
  </si>
  <si>
    <t>SA (04/24/2018)</t>
  </si>
  <si>
    <t>SA (11/28/2018)</t>
  </si>
  <si>
    <t>SA (05/02/2018)</t>
  </si>
  <si>
    <t>SA (05/15/2018)</t>
  </si>
  <si>
    <t>SA (12/12/2018)</t>
  </si>
  <si>
    <t>SA (12/17/2018)</t>
  </si>
  <si>
    <t>WEST VIRGINIA</t>
  </si>
  <si>
    <t>Standards Achieved [as determined by a Self-Assessment (SA) and Verification Audit (VA)] for West Virginia</t>
  </si>
  <si>
    <t>Ashland County Health Department</t>
  </si>
  <si>
    <t>Terri Kramolis</t>
  </si>
  <si>
    <t>Barron County Department of Health</t>
  </si>
  <si>
    <t>Buffalo County Health and Human Services</t>
  </si>
  <si>
    <t>Chippewa County</t>
  </si>
  <si>
    <t>City of Menasha Health Department</t>
  </si>
  <si>
    <t>SA (02/22/2011)</t>
  </si>
  <si>
    <t>Todd Drew</t>
  </si>
  <si>
    <t>SA (05/08/2017)</t>
  </si>
  <si>
    <t>SA (11/17/2017)</t>
  </si>
  <si>
    <t>SA (09/28/2017)</t>
  </si>
  <si>
    <t>City of Milwaukee Health Department</t>
  </si>
  <si>
    <t>SA (01/25/2017)     VA (10/12/2017)</t>
  </si>
  <si>
    <t>SA (01/25/2017)     VA (06/02/2017)</t>
  </si>
  <si>
    <t>City of Racine Health Department</t>
  </si>
  <si>
    <t>SA (12/20/2018)</t>
  </si>
  <si>
    <t>City of West Allis Health Department</t>
  </si>
  <si>
    <t>Douglas County Department of Health and Human Services</t>
  </si>
  <si>
    <t>Dunn County Health Department</t>
  </si>
  <si>
    <t>Eau Claire City-County Health Dept.</t>
  </si>
  <si>
    <t>SA (11/10/2016)</t>
  </si>
  <si>
    <t>Florence County Health Department</t>
  </si>
  <si>
    <t>SA (09/27/2018)</t>
  </si>
  <si>
    <t>SA (09/15/2018)</t>
  </si>
  <si>
    <t>Ann Price</t>
  </si>
  <si>
    <t>Fond Du Lac County Health Department  </t>
  </si>
  <si>
    <t>Gloria Smedema</t>
  </si>
  <si>
    <t>Iron County Health Department</t>
  </si>
  <si>
    <t>Jackson County Public Health</t>
  </si>
  <si>
    <t>Kenosha County Division of Health</t>
  </si>
  <si>
    <t>La Crosse County Health Department</t>
  </si>
  <si>
    <t>SA (11/21/2018)</t>
  </si>
  <si>
    <t>Lac du Flambeau Band of Lake Superior Chippewa Indians</t>
  </si>
  <si>
    <t>SA (02/11/2010)     VA (02/03/2017)</t>
  </si>
  <si>
    <t>Sandra A. Supinski</t>
  </si>
  <si>
    <t>Marathon County Health Department</t>
  </si>
  <si>
    <t>North Shore Health Department</t>
  </si>
  <si>
    <t>Oak Creek Health Department  </t>
  </si>
  <si>
    <t>Outagamie County Public Health Division</t>
  </si>
  <si>
    <t>SA (04/30/2010)     VA (10/31/2013)</t>
  </si>
  <si>
    <t>Natalie Vandeveld</t>
  </si>
  <si>
    <t>SA (09/24/2014)     VA (03/18/2015)</t>
  </si>
  <si>
    <t>SA (09/24/2014)     VA (08/04/2015)</t>
  </si>
  <si>
    <t>SA (09/03/2016)     VA (11/07/2016)</t>
  </si>
  <si>
    <t>Pierce County Health Department</t>
  </si>
  <si>
    <t>Polk County Health Department</t>
  </si>
  <si>
    <t>Brian Hobbs</t>
  </si>
  <si>
    <t>Portage County Health &amp; Human Services - Division of Public Helath</t>
  </si>
  <si>
    <t>SA (02/09/2017)     VA (03/30/2017)</t>
  </si>
  <si>
    <t xml:space="preserve">     VA (03/30/2017)</t>
  </si>
  <si>
    <t>Rock County Health Department</t>
  </si>
  <si>
    <t>Rusk County Public Health</t>
  </si>
  <si>
    <t>Sauk County Health Department</t>
  </si>
  <si>
    <t>St Croix County Public Health  </t>
  </si>
  <si>
    <t>Trempealeau County Health Department</t>
  </si>
  <si>
    <t>Wisconsin Department of Agriculture, Trade and Consumer Protection</t>
  </si>
  <si>
    <t>SA (12/06/2016)     VA (12/30/2016)</t>
  </si>
  <si>
    <t>James Mack</t>
  </si>
  <si>
    <t>Wood County Health Department</t>
  </si>
  <si>
    <t>Nancy Eggleston</t>
  </si>
  <si>
    <t>WISCONSIN</t>
  </si>
  <si>
    <t>Standards Achieved [as determined by a Self-Assessment (SA) and Verification Audit (VA)] for Wisconsin</t>
  </si>
  <si>
    <t>Casper-Natrona County Health Department</t>
  </si>
  <si>
    <t>SA (09/10/2007)     VA (06/17/2011)</t>
  </si>
  <si>
    <t>SA (09/01/2015)     VA (09/28/2015)</t>
  </si>
  <si>
    <t>SA (05/01/2015)     VA (05/28/2015)</t>
  </si>
  <si>
    <t>SA (12/01/2018)     VA (01/11/2019)</t>
  </si>
  <si>
    <t>SA (10/30/2017)     VA (11/15/2017)</t>
  </si>
  <si>
    <t>SA (06/05/2015)</t>
  </si>
  <si>
    <t>City of Laramie</t>
  </si>
  <si>
    <t>SA (08/12/2011)     VA (12/20/2011)</t>
  </si>
  <si>
    <t>SA (08/12/2011)     VA (04/26/2013)</t>
  </si>
  <si>
    <t>SA (08/09/2002)     VA (01/08/2014)</t>
  </si>
  <si>
    <t>SA (04/21/2015)     VA (04/22/2015)</t>
  </si>
  <si>
    <t>SA (06/12/2007)</t>
  </si>
  <si>
    <t>SA (06/12/2007)     VA (09/11/2014)</t>
  </si>
  <si>
    <t>WYOMING</t>
  </si>
  <si>
    <t>Standards Achieved [as determined by a Self-Assessment (SA) and Verification Audit (VA)] for Wyoming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</si>
</sst>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1F497D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1"/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3" fillId="2" borderId="5" xfId="1" applyFill="1" applyBorder="1" applyAlignment="1">
      <alignment horizontal="left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2" borderId="1" xfId="1" applyFill="1" applyBorder="1" applyAlignment="1">
      <alignment horizontal="center" vertical="center" wrapText="1"/>
    </xf>
    <xf numFmtId="0" fontId="3" fillId="2" borderId="8" xfId="1" applyFill="1" applyBorder="1" applyAlignment="1">
      <alignment horizontal="center" vertical="center" wrapText="1"/>
    </xf>
    <xf numFmtId="0" fontId="3" fillId="3" borderId="5" xfId="1" applyFill="1" applyBorder="1" applyAlignment="1">
      <alignment horizontal="left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3" borderId="1" xfId="1" applyFill="1" applyBorder="1" applyAlignment="1">
      <alignment horizontal="center" vertical="center" wrapText="1"/>
    </xf>
    <xf numFmtId="0" fontId="3" fillId="3" borderId="8" xfId="1" applyFill="1" applyBorder="1" applyAlignment="1">
      <alignment horizontal="center" vertical="center" wrapText="1"/>
    </xf>
    <xf numFmtId="0" fontId="3" fillId="2" borderId="6" xfId="1" applyFill="1" applyBorder="1" applyAlignment="1">
      <alignment horizontal="left" vertical="center" wrapText="1"/>
    </xf>
    <xf numFmtId="14" fontId="0" fillId="2" borderId="3" xfId="0" applyNumberForma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3" fillId="2" borderId="3" xfId="1" applyFill="1" applyBorder="1" applyAlignment="1">
      <alignment horizontal="center" vertical="center" wrapText="1"/>
    </xf>
    <xf numFmtId="0" fontId="3" fillId="2" borderId="9" xfId="1" applyFill="1" applyBorder="1" applyAlignment="1">
      <alignment horizontal="center" vertical="center" wrapText="1"/>
    </xf>
    <xf numFmtId="0" fontId="1" fillId="0" borderId="0" xfId="0" applyFont="1"/>
    <xf numFmtId="0" fontId="3" fillId="3" borderId="6" xfId="1" applyFill="1" applyBorder="1" applyAlignment="1">
      <alignment horizontal="left" vertical="center" wrapText="1"/>
    </xf>
    <xf numFmtId="14" fontId="0" fillId="3" borderId="3" xfId="0" applyNumberForma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3" fillId="3" borderId="3" xfId="1" applyFill="1" applyBorder="1" applyAlignment="1">
      <alignment horizontal="center" vertical="center" wrapText="1"/>
    </xf>
    <xf numFmtId="0" fontId="3" fillId="3" borderId="9" xfId="1" applyFill="1" applyBorder="1" applyAlignment="1">
      <alignment horizontal="center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0" fontId="0" fillId="3" borderId="6" xfId="0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1120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rgb="FF92D050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calcChain" Target="calcChain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52BB8C8-81F0-4199-9424-2A633A99D2EA}" name="Table_Alabama" displayName="Table_Alabama" ref="A3:O9" totalsRowShown="0" headerRowDxfId="1100" dataDxfId="1119" headerRowBorderDxfId="1117" tableBorderDxfId="1118" totalsRowBorderDxfId="1116">
  <autoFilter ref="A3:O9" xr:uid="{C4F3D14E-0FDF-4BF0-8F02-76AA4AF3DE6B}"/>
  <tableColumns count="15">
    <tableColumn id="1" xr3:uid="{EC8117DD-FE66-43A0-BAA4-DE7C4D6FB7E1}" name="Enrolled Jurisdiction Name" dataDxfId="1115"/>
    <tableColumn id="2" xr3:uid="{CFEAFEFD-B4CB-46EB-8DD0-A1563EE18374}" name="Enrollment Date" dataDxfId="1114"/>
    <tableColumn id="3" xr3:uid="{D6C3F6EB-AB81-438E-B677-CC975C7FEB39}" name="Self-Assessment Period" dataDxfId="1113"/>
    <tableColumn id="4" xr3:uid="{20CD3206-DC4F-482A-88FB-0C0F17710768}" name="Self-Assessment Completed" dataDxfId="1112"/>
    <tableColumn id="5" xr3:uid="{DEFC84D2-FC7A-42A2-90F8-552778B94207}" name="Achieved Conformance with Standard 1" dataDxfId="1111"/>
    <tableColumn id="6" xr3:uid="{9E6EA42B-8D89-4730-8318-536AD98570A5}" name="Achieved Conformance with Standard 2" dataDxfId="1110"/>
    <tableColumn id="7" xr3:uid="{4F82AF4A-DDC0-4237-A080-0EA8898666F3}" name="Achieved Conformance with Standard 3" dataDxfId="1109"/>
    <tableColumn id="8" xr3:uid="{9C9024EE-5F0E-4D45-8390-77999EDE5350}" name="Achieved Conformance with Standard 4" dataDxfId="1108"/>
    <tableColumn id="9" xr3:uid="{462A22C5-5F4A-4802-82BA-4FC23916221B}" name="Achieved Conformance with Standard 5" dataDxfId="1107"/>
    <tableColumn id="10" xr3:uid="{B70E20C2-F7AB-4111-8A6B-E9BDED5AA6D1}" name="Achieved Conformance with Standard 6" dataDxfId="1106"/>
    <tableColumn id="11" xr3:uid="{6525DBF8-E40B-49B5-A255-40785CDE4209}" name="Achieved Conformance with Standard 7" dataDxfId="1105"/>
    <tableColumn id="12" xr3:uid="{1D0FCE23-DFD4-4360-8F46-0C7C72D840AE}" name="Achieved Conformance with Standard 8" dataDxfId="1104"/>
    <tableColumn id="13" xr3:uid="{4AE82892-66C2-4957-8261-8464859723DD}" name="Achieved Conformance with Standard 9" dataDxfId="1103"/>
    <tableColumn id="14" xr3:uid="{A559EC0A-199C-41A7-9AB7-ED752970E148}" name="Jurisdiction Contact" dataDxfId="1102"/>
    <tableColumn id="15" xr3:uid="{844EA141-3B86-4D7C-BBC6-91E0731C0D71}" name="FDA Contact" dataDxfId="1101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52AF954-03D4-40E9-BF09-728C1FAD22BC}" name="Table_Florida" displayName="Table_Florida" ref="A3:O13" totalsRowShown="0" headerRowDxfId="920" dataDxfId="939" headerRowBorderDxfId="937" tableBorderDxfId="938" totalsRowBorderDxfId="936">
  <autoFilter ref="A3:O13" xr:uid="{67F40A67-8228-4FE8-974D-B7A1075F00F3}"/>
  <tableColumns count="15">
    <tableColumn id="1" xr3:uid="{5BCEE40D-70F5-4F08-A086-953DCED48571}" name="Enrolled Jurisdiction Name" dataDxfId="935"/>
    <tableColumn id="2" xr3:uid="{CEF93E88-FECF-42AD-B5C3-AE79F69D30C7}" name="Enrollment Date" dataDxfId="934"/>
    <tableColumn id="3" xr3:uid="{8764F54B-32E2-4CAE-8B04-3DC214CD863F}" name="Self-Assessment Period" dataDxfId="933"/>
    <tableColumn id="4" xr3:uid="{BA2D21EA-43DF-486A-B54F-7E5E18AE52C2}" name="Self-Assessment Completed" dataDxfId="932"/>
    <tableColumn id="5" xr3:uid="{29F19969-083F-4B39-8BE5-E8BDDF364805}" name="Achieved Conformance with Standard 1" dataDxfId="931"/>
    <tableColumn id="6" xr3:uid="{479B3C9D-2A78-4591-94AF-B92A547825FA}" name="Achieved Conformance with Standard 2" dataDxfId="930"/>
    <tableColumn id="7" xr3:uid="{70445DDB-3FB0-4F42-BD1D-EEA849481990}" name="Achieved Conformance with Standard 3" dataDxfId="929"/>
    <tableColumn id="8" xr3:uid="{83FCCBCC-7959-47CB-B4FF-B80BE3959DC0}" name="Achieved Conformance with Standard 4" dataDxfId="928"/>
    <tableColumn id="9" xr3:uid="{FC1049C9-0D69-4B13-91BA-903DE1F36168}" name="Achieved Conformance with Standard 5" dataDxfId="927"/>
    <tableColumn id="10" xr3:uid="{C1B119FE-BAA8-4E54-80B7-E6FC01D7D18B}" name="Achieved Conformance with Standard 6" dataDxfId="926"/>
    <tableColumn id="11" xr3:uid="{27D6F5CF-F8AC-4FD7-B55F-45FAF2F6BB30}" name="Achieved Conformance with Standard 7" dataDxfId="925"/>
    <tableColumn id="12" xr3:uid="{093A7C82-E04E-4FE6-AD2F-EB7712D902C3}" name="Achieved Conformance with Standard 8" dataDxfId="924"/>
    <tableColumn id="13" xr3:uid="{03DCCBC7-BBBA-4CD9-B63B-7CE505D46184}" name="Achieved Conformance with Standard 9" dataDxfId="923"/>
    <tableColumn id="14" xr3:uid="{ED23CC60-01A1-49FA-975E-F438D6415E32}" name="Jurisdiction Contact" dataDxfId="922"/>
    <tableColumn id="15" xr3:uid="{BD7BF7EE-6C5C-4265-9397-4CD4124EED80}" name="FDA Contact" dataDxfId="921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B0BFBC08-F0FA-413B-99FF-C08149167904}" name="Table_Georgia" displayName="Table_Georgia" ref="A3:O119" totalsRowShown="0" headerRowDxfId="900" dataDxfId="919" headerRowBorderDxfId="917" tableBorderDxfId="918" totalsRowBorderDxfId="916">
  <autoFilter ref="A3:O119" xr:uid="{7C65F15B-3FE4-4D36-A3F3-0775006D953B}"/>
  <tableColumns count="15">
    <tableColumn id="1" xr3:uid="{34AA7CEF-B4DA-4A2C-885A-52F30DD26D33}" name="Enrolled Jurisdiction Name" dataDxfId="915"/>
    <tableColumn id="2" xr3:uid="{2DAB4C48-656F-4AA1-9E7E-11E2A306161C}" name="Enrollment Date" dataDxfId="914"/>
    <tableColumn id="3" xr3:uid="{CF02D1E2-3F74-4FA5-976A-BF7683BE92DD}" name="Self-Assessment Period" dataDxfId="913"/>
    <tableColumn id="4" xr3:uid="{679FAFE1-B5D1-49CF-971A-B5D0828881F9}" name="Self-Assessment Completed" dataDxfId="912"/>
    <tableColumn id="5" xr3:uid="{84969D72-66AC-4BE5-8A4F-5DA8CD4A0E30}" name="Achieved Conformance with Standard 1" dataDxfId="911"/>
    <tableColumn id="6" xr3:uid="{95231BCD-A608-4609-9557-61E5A9F48D37}" name="Achieved Conformance with Standard 2" dataDxfId="910"/>
    <tableColumn id="7" xr3:uid="{BDAAA079-DDE5-4A1C-A4A9-985A3AC5BD1C}" name="Achieved Conformance with Standard 3" dataDxfId="909"/>
    <tableColumn id="8" xr3:uid="{3F211BBE-A378-425B-B3BF-2CDB1FB97897}" name="Achieved Conformance with Standard 4" dataDxfId="908"/>
    <tableColumn id="9" xr3:uid="{E55BE3E2-E051-4D39-BE3B-ACF29663B7AB}" name="Achieved Conformance with Standard 5" dataDxfId="907"/>
    <tableColumn id="10" xr3:uid="{F8264626-1C78-4171-9455-3A56C824A189}" name="Achieved Conformance with Standard 6" dataDxfId="906"/>
    <tableColumn id="11" xr3:uid="{E06042E6-EE8D-486B-9628-382099096DA6}" name="Achieved Conformance with Standard 7" dataDxfId="905"/>
    <tableColumn id="12" xr3:uid="{7FF78F3C-4BFE-4D67-B6B7-E7D6494E5865}" name="Achieved Conformance with Standard 8" dataDxfId="904"/>
    <tableColumn id="13" xr3:uid="{53773356-BCFE-4A07-8F3C-1C02C5B13759}" name="Achieved Conformance with Standard 9" dataDxfId="903"/>
    <tableColumn id="14" xr3:uid="{13A56527-4C1A-43F2-9143-074F6FC74C70}" name="Jurisdiction Contact" dataDxfId="902"/>
    <tableColumn id="15" xr3:uid="{CAA0195B-D426-4773-A2DF-0C13905F5DB7}" name="FDA Contact" dataDxfId="901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6A8DE250-CAFC-4B37-94FF-2B763CD582AD}" name="Table_Guam" displayName="Table_Guam" ref="A3:O4" totalsRowShown="0" headerRowDxfId="896" dataDxfId="880" headerRowBorderDxfId="898" tableBorderDxfId="899" totalsRowBorderDxfId="897">
  <autoFilter ref="A3:O4" xr:uid="{355F2A40-8650-4AE4-B197-9FDA2A3ACE4B}"/>
  <tableColumns count="15">
    <tableColumn id="1" xr3:uid="{3327B86D-B2FC-4AB2-934A-AB2FC538F5C5}" name="Enrolled Jurisdiction Name" dataDxfId="895"/>
    <tableColumn id="2" xr3:uid="{60D5FD9F-9524-44A0-B517-618EF77AC189}" name="Enrollment Date" dataDxfId="894"/>
    <tableColumn id="3" xr3:uid="{0DE02E5C-0C69-42D7-BF5C-8FD65E5EE39A}" name="Self-Assessment Period" dataDxfId="893"/>
    <tableColumn id="4" xr3:uid="{B89B2176-347F-4B55-948F-16BB66AADD66}" name="Self-Assessment Completed" dataDxfId="892"/>
    <tableColumn id="5" xr3:uid="{0084758B-3429-46E0-AC69-7A501A5805C1}" name="Achieved Conformance with Standard 1" dataDxfId="891"/>
    <tableColumn id="6" xr3:uid="{2306A362-8D64-413C-AFB2-DFA9699C1B33}" name="Achieved Conformance with Standard 2" dataDxfId="890"/>
    <tableColumn id="7" xr3:uid="{8DFEF764-C657-4C48-AC1F-50B66849028A}" name="Achieved Conformance with Standard 3" dataDxfId="889"/>
    <tableColumn id="8" xr3:uid="{99AA315C-AFFB-48C1-B4E3-7F4014835B99}" name="Achieved Conformance with Standard 4" dataDxfId="888"/>
    <tableColumn id="9" xr3:uid="{45DB10B0-A338-4A70-B24E-A3EFD42C79BD}" name="Achieved Conformance with Standard 5" dataDxfId="887"/>
    <tableColumn id="10" xr3:uid="{2F731E3E-5D68-4E52-8148-8208EE80D1E8}" name="Achieved Conformance with Standard 6" dataDxfId="886"/>
    <tableColumn id="11" xr3:uid="{29E0241F-118C-4133-9600-F91CA0F8D563}" name="Achieved Conformance with Standard 7" dataDxfId="885"/>
    <tableColumn id="12" xr3:uid="{B4CA4519-DA3D-4419-B207-E3510A613266}" name="Achieved Conformance with Standard 8" dataDxfId="884"/>
    <tableColumn id="13" xr3:uid="{FCA6B6AD-56C1-4C67-9BC6-A2103DB5C9FB}" name="Achieved Conformance with Standard 9" dataDxfId="883"/>
    <tableColumn id="14" xr3:uid="{A697033A-A0C1-4488-B3E1-7C569A2B3519}" name="Jurisdiction Contact" dataDxfId="882">
      <calculatedColumnFormula>HYPERLINK("mailto:Katherine.Delmundo@dphss.guam.gov","Katherine Del Mundo")</calculatedColumnFormula>
    </tableColumn>
    <tableColumn id="15" xr3:uid="{0CBB947C-C447-4078-B097-1C5B5D337976}" name="FDA Contact" dataDxfId="881">
      <calculatedColumnFormula>HYPERLINK("mailto:Richard.Ramirez@fda.hhs.gov","Richard Ramirez")</calculatedColumnFormula>
    </tableColumn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243F18D-1E6D-4491-B6E1-1B7C11C453AB}" name="Table_Hawaii" displayName="Table_Hawaii" ref="A3:O12" totalsRowShown="0" headerRowDxfId="860" dataDxfId="879" headerRowBorderDxfId="877" tableBorderDxfId="878" totalsRowBorderDxfId="876">
  <autoFilter ref="A3:O12" xr:uid="{EEA4705E-C772-44C1-B868-9E085E997631}"/>
  <tableColumns count="15">
    <tableColumn id="1" xr3:uid="{61721B08-27EB-469D-8252-ECFD5F8E2F75}" name="Enrolled Jurisdiction Name" dataDxfId="875"/>
    <tableColumn id="2" xr3:uid="{A6B26BDF-5F7C-443A-9DB9-5EFA93FF0FFB}" name="Enrollment Date" dataDxfId="874"/>
    <tableColumn id="3" xr3:uid="{A42A8010-CEBC-4385-AA55-A2140799B32A}" name="Self-Assessment Period" dataDxfId="873"/>
    <tableColumn id="4" xr3:uid="{80479461-53F7-48B8-9E63-6BEFA8308714}" name="Self-Assessment Completed" dataDxfId="872"/>
    <tableColumn id="5" xr3:uid="{F2A97970-8584-45F1-AC95-E1650390611F}" name="Achieved Conformance with Standard 1" dataDxfId="871"/>
    <tableColumn id="6" xr3:uid="{B5933322-D06F-4874-9309-B5F08D5660C7}" name="Achieved Conformance with Standard 2" dataDxfId="870"/>
    <tableColumn id="7" xr3:uid="{249ACA45-98E7-4ABD-97A3-F4405897629D}" name="Achieved Conformance with Standard 3" dataDxfId="869"/>
    <tableColumn id="8" xr3:uid="{A3026E99-2943-4BF8-8400-61D8CE9E80FF}" name="Achieved Conformance with Standard 4" dataDxfId="868"/>
    <tableColumn id="9" xr3:uid="{51297681-004C-474E-80E6-344638288E7E}" name="Achieved Conformance with Standard 5" dataDxfId="867"/>
    <tableColumn id="10" xr3:uid="{C8774105-51E0-405D-8BBD-F18B6E580505}" name="Achieved Conformance with Standard 6" dataDxfId="866"/>
    <tableColumn id="11" xr3:uid="{EB6B6E12-79B1-4D45-955C-213365C3854F}" name="Achieved Conformance with Standard 7" dataDxfId="865"/>
    <tableColumn id="12" xr3:uid="{ADE108D4-4D72-420D-BDFA-4F7CCF84E209}" name="Achieved Conformance with Standard 8" dataDxfId="864"/>
    <tableColumn id="13" xr3:uid="{C7A176E6-EE60-452A-9EB3-E97F0ED98E60}" name="Achieved Conformance with Standard 9" dataDxfId="863"/>
    <tableColumn id="14" xr3:uid="{49169A4C-C180-43C4-805B-FDFDE66F0E8F}" name="Jurisdiction Contact" dataDxfId="862"/>
    <tableColumn id="15" xr3:uid="{6CFE776A-6BA9-4BAB-B4AA-2BE68ECF0A78}" name="FDA Contact" dataDxfId="861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AB0F8F65-C0E4-40B3-974B-3E3A7A81E1F9}" name="Table_Idaho" displayName="Table_Idaho" ref="A3:O18" totalsRowShown="0" headerRowDxfId="840" dataDxfId="859" headerRowBorderDxfId="857" tableBorderDxfId="858" totalsRowBorderDxfId="856">
  <autoFilter ref="A3:O18" xr:uid="{A7E909BC-5FDF-4B1F-B328-4E45D361751B}"/>
  <tableColumns count="15">
    <tableColumn id="1" xr3:uid="{308D711F-B156-4330-857D-F81DCFF3ED90}" name="Enrolled Jurisdiction Name" dataDxfId="855"/>
    <tableColumn id="2" xr3:uid="{C4F525AE-C4EB-49A8-93EE-DEAAA717E478}" name="Enrollment Date" dataDxfId="854"/>
    <tableColumn id="3" xr3:uid="{0EA474A0-A168-4811-9BAA-30C11A0A9913}" name="Self-Assessment Period" dataDxfId="853"/>
    <tableColumn id="4" xr3:uid="{9182DA84-48E1-4BDF-8918-1EA901902546}" name="Self-Assessment Completed" dataDxfId="852"/>
    <tableColumn id="5" xr3:uid="{1AD1B779-D4A3-498E-B06E-BB41B2AE5C0F}" name="Achieved Conformance with Standard 1" dataDxfId="851"/>
    <tableColumn id="6" xr3:uid="{C2497C18-6505-4BC5-9706-4938394829EB}" name="Achieved Conformance with Standard 2" dataDxfId="850"/>
    <tableColumn id="7" xr3:uid="{34AFCB4C-F576-4DBD-B6DE-F1AF26E1EFEB}" name="Achieved Conformance with Standard 3" dataDxfId="849"/>
    <tableColumn id="8" xr3:uid="{A12118A3-8647-479B-910D-162A67065F2B}" name="Achieved Conformance with Standard 4" dataDxfId="848"/>
    <tableColumn id="9" xr3:uid="{127DEA6F-349F-4048-98AC-FE51A8D06DC0}" name="Achieved Conformance with Standard 5" dataDxfId="847"/>
    <tableColumn id="10" xr3:uid="{81C19A4A-9608-429B-BF4C-74F3FC310B40}" name="Achieved Conformance with Standard 6" dataDxfId="846"/>
    <tableColumn id="11" xr3:uid="{2643F6DE-ACB0-4134-BEC4-87BB399E03CE}" name="Achieved Conformance with Standard 7" dataDxfId="845"/>
    <tableColumn id="12" xr3:uid="{182686D7-6A8C-4F9E-8B2B-4FF47B54727B}" name="Achieved Conformance with Standard 8" dataDxfId="844"/>
    <tableColumn id="13" xr3:uid="{39060B25-882C-4D6D-A8EF-B7A7440E0B21}" name="Achieved Conformance with Standard 9" dataDxfId="843"/>
    <tableColumn id="14" xr3:uid="{86E25A18-94AF-455F-8DFE-E5F3C8551EBE}" name="Jurisdiction Contact" dataDxfId="842"/>
    <tableColumn id="15" xr3:uid="{F7AFE82F-B4AB-4DB9-A148-B32254E12DBA}" name="FDA Contact" dataDxfId="841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34449EB-DA79-4262-9D8D-4C36D2F7DA32}" name="Table_Illinois" displayName="Table_Illinois" ref="A3:O49" totalsRowShown="0" headerRowDxfId="820" dataDxfId="839" headerRowBorderDxfId="837" tableBorderDxfId="838" totalsRowBorderDxfId="836">
  <autoFilter ref="A3:O49" xr:uid="{966D23B3-A64A-40CC-8D37-3BE0F88DFB51}"/>
  <tableColumns count="15">
    <tableColumn id="1" xr3:uid="{717B8B2B-6268-4F44-ABFB-0BE7D5A5ACFB}" name="Enrolled Jurisdiction Name" dataDxfId="835"/>
    <tableColumn id="2" xr3:uid="{7F1E8A3F-B450-41FB-BE71-4DA9722890FE}" name="Enrollment Date" dataDxfId="834"/>
    <tableColumn id="3" xr3:uid="{59653D11-B22E-43BD-AEEC-54D528DFC005}" name="Self-Assessment Period" dataDxfId="833"/>
    <tableColumn id="4" xr3:uid="{FFAA1D81-61C3-43B6-906C-845F276703B5}" name="Self-Assessment Completed" dataDxfId="832"/>
    <tableColumn id="5" xr3:uid="{F6D49999-4FA1-4CC2-823D-C60261605543}" name="Achieved Conformance with Standard 1" dataDxfId="831"/>
    <tableColumn id="6" xr3:uid="{A5F52242-1721-4987-A240-A27A61170D07}" name="Achieved Conformance with Standard 2" dataDxfId="830"/>
    <tableColumn id="7" xr3:uid="{06983661-3C25-4FFA-AF94-5FB0A436959E}" name="Achieved Conformance with Standard 3" dataDxfId="829"/>
    <tableColumn id="8" xr3:uid="{123A6991-6329-4B63-BC18-222794DDD937}" name="Achieved Conformance with Standard 4" dataDxfId="828"/>
    <tableColumn id="9" xr3:uid="{95C5E9AC-C1E1-44A5-ADC8-710F8414F862}" name="Achieved Conformance with Standard 5" dataDxfId="827"/>
    <tableColumn id="10" xr3:uid="{27D93B9F-65D6-4C43-8CDC-19D31470746A}" name="Achieved Conformance with Standard 6" dataDxfId="826"/>
    <tableColumn id="11" xr3:uid="{95210559-2342-46D7-970C-F600C414BA40}" name="Achieved Conformance with Standard 7" dataDxfId="825"/>
    <tableColumn id="12" xr3:uid="{915C1152-9D1E-45B9-946D-F71B11A733FE}" name="Achieved Conformance with Standard 8" dataDxfId="824"/>
    <tableColumn id="13" xr3:uid="{F7E8A6D4-76F2-4036-A336-BFF4666740E2}" name="Achieved Conformance with Standard 9" dataDxfId="823"/>
    <tableColumn id="14" xr3:uid="{06654D74-D791-437C-BF98-3F2797364A7F}" name="Jurisdiction Contact" dataDxfId="822"/>
    <tableColumn id="15" xr3:uid="{8FA375D0-58CC-43AD-B276-8055EB195E92}" name="FDA Contact" dataDxfId="821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C2F2B069-F201-4009-8F67-188D0D4DE1F1}" name="Table_Indiana" displayName="Table_Indiana" ref="A3:O15" totalsRowShown="0" headerRowDxfId="800" dataDxfId="819" headerRowBorderDxfId="817" tableBorderDxfId="818" totalsRowBorderDxfId="816">
  <autoFilter ref="A3:O15" xr:uid="{BE73F4CC-8865-48B4-8E51-0675F99DF416}"/>
  <tableColumns count="15">
    <tableColumn id="1" xr3:uid="{AB91FB3E-51BB-4308-9D11-158C04594E7E}" name="Enrolled Jurisdiction Name" dataDxfId="815"/>
    <tableColumn id="2" xr3:uid="{BC1F0A03-7EDB-4E81-876C-C043D5437617}" name="Enrollment Date" dataDxfId="814"/>
    <tableColumn id="3" xr3:uid="{CA1C9E69-9E16-4BB7-A535-3F525CBCA228}" name="Self-Assessment Period" dataDxfId="813"/>
    <tableColumn id="4" xr3:uid="{6DD51386-62D7-47C4-B89E-7182E4A09D07}" name="Self-Assessment Completed" dataDxfId="812"/>
    <tableColumn id="5" xr3:uid="{B162DDFD-EFA3-4749-984D-6F7272F7CFAD}" name="Achieved Conformance with Standard 1" dataDxfId="811"/>
    <tableColumn id="6" xr3:uid="{BD8FD47F-6576-4D69-9ABA-5E5083251D9C}" name="Achieved Conformance with Standard 2" dataDxfId="810"/>
    <tableColumn id="7" xr3:uid="{303CB4A2-011F-47C6-A209-E2AF7C6BF3E1}" name="Achieved Conformance with Standard 3" dataDxfId="809"/>
    <tableColumn id="8" xr3:uid="{556C8CF6-2DDF-4662-A289-1F52B66DDB9A}" name="Achieved Conformance with Standard 4" dataDxfId="808"/>
    <tableColumn id="9" xr3:uid="{5B179AB4-5E77-4E24-845D-F0A665076211}" name="Achieved Conformance with Standard 5" dataDxfId="807"/>
    <tableColumn id="10" xr3:uid="{04D81436-2C13-47F9-BCF9-5743F01477CC}" name="Achieved Conformance with Standard 6" dataDxfId="806"/>
    <tableColumn id="11" xr3:uid="{829B29C2-EDD9-4C08-88A5-8873B78D28D2}" name="Achieved Conformance with Standard 7" dataDxfId="805"/>
    <tableColumn id="12" xr3:uid="{CD2CCB61-9B70-41DB-A498-8967FA49EFDB}" name="Achieved Conformance with Standard 8" dataDxfId="804"/>
    <tableColumn id="13" xr3:uid="{7A6BB3AE-A86D-4982-8B07-3A20ABFF2115}" name="Achieved Conformance with Standard 9" dataDxfId="803"/>
    <tableColumn id="14" xr3:uid="{7556B834-A0DB-453A-B44C-E3B856457E19}" name="Jurisdiction Contact" dataDxfId="802"/>
    <tableColumn id="15" xr3:uid="{1C8E9638-D180-493F-B200-E8E49E146A0F}" name="FDA Contact" dataDxfId="801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DB902AF8-AD8C-49BC-9C92-4D0388F56D9A}" name="Table_Iowa" displayName="Table_Iowa" ref="A3:O30" totalsRowShown="0" headerRowDxfId="780" dataDxfId="799" headerRowBorderDxfId="797" tableBorderDxfId="798" totalsRowBorderDxfId="796">
  <autoFilter ref="A3:O30" xr:uid="{3BA5CABD-6C04-4C8B-8F5F-C523CAA22180}"/>
  <tableColumns count="15">
    <tableColumn id="1" xr3:uid="{706B9488-255A-4E45-8AA7-F7B72C8DD1BC}" name="Enrolled Jurisdiction Name" dataDxfId="795"/>
    <tableColumn id="2" xr3:uid="{A4747AC5-8F06-4B40-BDE3-9E95558250B3}" name="Enrollment Date" dataDxfId="794"/>
    <tableColumn id="3" xr3:uid="{F9E4326D-A26D-4547-B653-A7032696A541}" name="Self-Assessment Period" dataDxfId="793"/>
    <tableColumn id="4" xr3:uid="{2538D78D-8BFA-47C7-8581-59378C6B9C8E}" name="Self-Assessment Completed" dataDxfId="792"/>
    <tableColumn id="5" xr3:uid="{3AFA342B-31BA-48CC-83D3-F074466F1B5C}" name="Achieved Conformance with Standard 1" dataDxfId="791"/>
    <tableColumn id="6" xr3:uid="{1111C224-F060-4EEB-8B8D-4D22146EDCAD}" name="Achieved Conformance with Standard 2" dataDxfId="790"/>
    <tableColumn id="7" xr3:uid="{210C8D0F-8543-4292-B35A-957E4CADEDED}" name="Achieved Conformance with Standard 3" dataDxfId="789"/>
    <tableColumn id="8" xr3:uid="{7F2EEB5F-D765-47D1-B047-CBFF0AAA277A}" name="Achieved Conformance with Standard 4" dataDxfId="788"/>
    <tableColumn id="9" xr3:uid="{66BA98AB-3C3E-4761-8A95-92FCD59D517D}" name="Achieved Conformance with Standard 5" dataDxfId="787"/>
    <tableColumn id="10" xr3:uid="{B92B95CC-EA7E-4CEE-B1DD-F709EBD77867}" name="Achieved Conformance with Standard 6" dataDxfId="786"/>
    <tableColumn id="11" xr3:uid="{F47101AA-6950-4A06-9E5B-39E59C13CE03}" name="Achieved Conformance with Standard 7" dataDxfId="785"/>
    <tableColumn id="12" xr3:uid="{6E66602A-FB13-46F3-A5FC-413E2C091244}" name="Achieved Conformance with Standard 8" dataDxfId="784"/>
    <tableColumn id="13" xr3:uid="{E95035B4-2D5C-4400-9691-6A3BDC1A993C}" name="Achieved Conformance with Standard 9" dataDxfId="783"/>
    <tableColumn id="14" xr3:uid="{251070C8-7955-4E7E-9DB3-2D8FA2A98AFF}" name="Jurisdiction Contact" dataDxfId="782"/>
    <tableColumn id="15" xr3:uid="{FB578B8F-103D-4980-899F-A70CF86C1AE2}" name="FDA Contact" dataDxfId="781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88648FC0-FE77-4FF7-86C0-C1506F2716D0}" name="Table_Kansas" displayName="Table_Kansas" ref="A3:O5" totalsRowShown="0" headerRowDxfId="760" dataDxfId="779" headerRowBorderDxfId="777" tableBorderDxfId="778" totalsRowBorderDxfId="776">
  <autoFilter ref="A3:O5" xr:uid="{700A2939-5D0E-4114-9DCE-7761C0FFBCC2}"/>
  <tableColumns count="15">
    <tableColumn id="1" xr3:uid="{506DE69B-D5FA-4EF3-B91F-D9D3F4462979}" name="Enrolled Jurisdiction Name" dataDxfId="775"/>
    <tableColumn id="2" xr3:uid="{8E459ED2-D7D4-483A-9B9D-070828906B1F}" name="Enrollment Date" dataDxfId="774"/>
    <tableColumn id="3" xr3:uid="{A4769213-D68D-4C4D-969B-D178560AF680}" name="Self-Assessment Period" dataDxfId="773"/>
    <tableColumn id="4" xr3:uid="{0017F866-A626-4F76-9543-676443F7B68A}" name="Self-Assessment Completed" dataDxfId="772"/>
    <tableColumn id="5" xr3:uid="{35E0245D-A427-4F9B-9B71-9FE7B3A9FC81}" name="Achieved Conformance with Standard 1" dataDxfId="771"/>
    <tableColumn id="6" xr3:uid="{9BAC3BE6-5CA2-46F4-8E79-CCE23E800248}" name="Achieved Conformance with Standard 2" dataDxfId="770"/>
    <tableColumn id="7" xr3:uid="{C10EB707-1636-46AE-A05F-FC4FBC477FB8}" name="Achieved Conformance with Standard 3" dataDxfId="769"/>
    <tableColumn id="8" xr3:uid="{3B1D8F3E-9743-4453-B63A-C6AFFF1616F6}" name="Achieved Conformance with Standard 4" dataDxfId="768"/>
    <tableColumn id="9" xr3:uid="{D6E9744C-69DB-4272-AB65-20C1F710EA53}" name="Achieved Conformance with Standard 5" dataDxfId="767"/>
    <tableColumn id="10" xr3:uid="{847F08EF-CD05-4CB7-983F-0531DF3FC05A}" name="Achieved Conformance with Standard 6" dataDxfId="766"/>
    <tableColumn id="11" xr3:uid="{C0118ABA-996B-45D8-AA29-02F27D02A24E}" name="Achieved Conformance with Standard 7" dataDxfId="765"/>
    <tableColumn id="12" xr3:uid="{0D57085B-E33E-4FF3-9572-25972934B604}" name="Achieved Conformance with Standard 8" dataDxfId="764"/>
    <tableColumn id="13" xr3:uid="{D6FBEDB6-4314-489B-B29A-F53373EA4DA6}" name="Achieved Conformance with Standard 9" dataDxfId="763"/>
    <tableColumn id="14" xr3:uid="{FBE7BD3D-EDD7-4BD3-9DD1-C2DCEF3186EF}" name="Jurisdiction Contact" dataDxfId="762"/>
    <tableColumn id="15" xr3:uid="{889AA0B9-65F4-4B0A-BB38-568E722D7083}" name="FDA Contact" dataDxfId="761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1AF71175-0904-4E96-817C-5969E48BBBAC}" name="Table_Kentucky" displayName="Table_Kentucky" ref="A3:O10" totalsRowShown="0" headerRowDxfId="740" dataDxfId="759" headerRowBorderDxfId="757" tableBorderDxfId="758" totalsRowBorderDxfId="756">
  <autoFilter ref="A3:O10" xr:uid="{A32CAB4E-C791-4352-81C9-A0C84493A6C2}"/>
  <tableColumns count="15">
    <tableColumn id="1" xr3:uid="{A9CC158F-8ADD-4D41-803C-4D5FCDAAA43F}" name="Enrolled Jurisdiction Name" dataDxfId="755"/>
    <tableColumn id="2" xr3:uid="{F551D730-BF6E-437D-906B-577DA6BB676A}" name="Enrollment Date" dataDxfId="754"/>
    <tableColumn id="3" xr3:uid="{FD411D4F-FF4A-4ABE-9291-950EAABA76AA}" name="Self-Assessment Period" dataDxfId="753"/>
    <tableColumn id="4" xr3:uid="{7B981F0D-9292-418D-915A-6367B91E7DF4}" name="Self-Assessment Completed" dataDxfId="752"/>
    <tableColumn id="5" xr3:uid="{A5D1A3A6-C9F8-4A83-B935-E408B6937533}" name="Achieved Conformance with Standard 1" dataDxfId="751"/>
    <tableColumn id="6" xr3:uid="{A3D0DAE2-FB7F-44E7-ACCA-F740CF30D2BF}" name="Achieved Conformance with Standard 2" dataDxfId="750"/>
    <tableColumn id="7" xr3:uid="{01B7EFCF-97E0-4F1B-B3F4-238BB2A2133C}" name="Achieved Conformance with Standard 3" dataDxfId="749"/>
    <tableColumn id="8" xr3:uid="{1F2EAD8A-B4E5-4ABE-8CDD-1E0C185B5CE8}" name="Achieved Conformance with Standard 4" dataDxfId="748"/>
    <tableColumn id="9" xr3:uid="{4F9B1B00-045F-4C19-BF74-D9EE586F92BD}" name="Achieved Conformance with Standard 5" dataDxfId="747"/>
    <tableColumn id="10" xr3:uid="{88A41261-6C38-4D81-8620-4744EDB66065}" name="Achieved Conformance with Standard 6" dataDxfId="746"/>
    <tableColumn id="11" xr3:uid="{8E8AFD0C-6576-41B2-A4B6-58C1D460380E}" name="Achieved Conformance with Standard 7" dataDxfId="745"/>
    <tableColumn id="12" xr3:uid="{3D203817-C81F-41A0-A6AE-9FB6BE6F4A3B}" name="Achieved Conformance with Standard 8" dataDxfId="744"/>
    <tableColumn id="13" xr3:uid="{0A710847-95E5-45AD-8A16-2570D9B3C089}" name="Achieved Conformance with Standard 9" dataDxfId="743"/>
    <tableColumn id="14" xr3:uid="{874ABB2B-C08B-4660-B44D-2C647F726AB9}" name="Jurisdiction Contact" dataDxfId="742"/>
    <tableColumn id="15" xr3:uid="{CA8DCA45-E21E-4C97-B2BA-C7D99C442FAE}" name="FDA Contact" dataDxfId="741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CB277A3-31F4-4F3F-9F82-67D700CA3983}" name="Table_Alaska" displayName="Table_Alaska" ref="A3:O7" totalsRowShown="0" headerRowDxfId="1080" dataDxfId="1099" headerRowBorderDxfId="1097" tableBorderDxfId="1098" totalsRowBorderDxfId="1096">
  <autoFilter ref="A3:O7" xr:uid="{B3D3BEE7-7188-45B7-AD6C-C80E7DB84874}"/>
  <tableColumns count="15">
    <tableColumn id="1" xr3:uid="{95681181-2955-4C84-A713-0C2A94BCFF09}" name="Enrolled Jurisdiction Name" dataDxfId="1095"/>
    <tableColumn id="2" xr3:uid="{701C26E1-B2EC-4A13-A0B1-C9F9C59968DE}" name="Enrollment Date" dataDxfId="1094"/>
    <tableColumn id="3" xr3:uid="{987E04E9-9AB7-45B9-B98E-2824FD6F659F}" name="Self-Assessment Period" dataDxfId="1093"/>
    <tableColumn id="4" xr3:uid="{7BDC984C-8D1D-40CD-A4AD-2608CFE31380}" name="Self-Assessment Completed" dataDxfId="1092"/>
    <tableColumn id="5" xr3:uid="{DC13393E-3F19-4F86-8349-2DF317F4150E}" name="Achieved Conformance with Standard 1" dataDxfId="1091"/>
    <tableColumn id="6" xr3:uid="{C6124210-8364-4D72-AB8D-7900B1E82910}" name="Achieved Conformance with Standard 2" dataDxfId="1090"/>
    <tableColumn id="7" xr3:uid="{EF2C2C10-8E9F-4B6F-BBF9-BDB0B7297725}" name="Achieved Conformance with Standard 3" dataDxfId="1089"/>
    <tableColumn id="8" xr3:uid="{A6592497-D956-4EEC-94FB-979B3ED2DF81}" name="Achieved Conformance with Standard 4" dataDxfId="1088"/>
    <tableColumn id="9" xr3:uid="{B111012B-DE9F-4C66-B874-2011ECE0A458}" name="Achieved Conformance with Standard 5" dataDxfId="1087"/>
    <tableColumn id="10" xr3:uid="{4CFDD798-0B5C-43A5-87C5-9368A887EAC2}" name="Achieved Conformance with Standard 6" dataDxfId="1086"/>
    <tableColumn id="11" xr3:uid="{4228F5C8-C17B-494A-87BB-DC4CF525B639}" name="Achieved Conformance with Standard 7" dataDxfId="1085"/>
    <tableColumn id="12" xr3:uid="{F122D141-22F8-495D-9B15-EE61CC505538}" name="Achieved Conformance with Standard 8" dataDxfId="1084"/>
    <tableColumn id="13" xr3:uid="{44E1806A-0CB0-4748-8C2F-D26D0A1F54F0}" name="Achieved Conformance with Standard 9" dataDxfId="1083"/>
    <tableColumn id="14" xr3:uid="{242F6BD3-F0A5-4046-A285-AE94C77EB613}" name="Jurisdiction Contact" dataDxfId="1082"/>
    <tableColumn id="15" xr3:uid="{5D1B02F3-779E-4358-8208-05F0FBAB699E}" name="FDA Contact" dataDxfId="1081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B1DEA758-D43A-42C7-8E59-7BFE6CAB6EB7}" name="Table_Louisiana" displayName="Table_Louisiana" ref="A3:O4" totalsRowShown="0" headerRowDxfId="736" dataDxfId="720" headerRowBorderDxfId="738" tableBorderDxfId="739" totalsRowBorderDxfId="737">
  <autoFilter ref="A3:O4" xr:uid="{E4DF455E-897C-4908-B8FD-AB69B2CB58B5}"/>
  <tableColumns count="15">
    <tableColumn id="1" xr3:uid="{CE0C8459-6F91-4595-BB9F-8CE6DDC887E6}" name="Enrolled Jurisdiction Name" dataDxfId="735">
      <calculatedColumnFormula>HYPERLINK("http://www.dhh.louisiana.gov/index.cfm/subhome/19/n/292","Louisiana Department of Health and Hospitals")</calculatedColumnFormula>
    </tableColumn>
    <tableColumn id="2" xr3:uid="{4A0E9878-E278-4424-B884-F16F7FCDF126}" name="Enrollment Date" dataDxfId="734"/>
    <tableColumn id="3" xr3:uid="{02F50DF1-0082-4648-B872-9B666F1A7091}" name="Self-Assessment Period" dataDxfId="733"/>
    <tableColumn id="4" xr3:uid="{D617C595-5E05-4E5E-8103-54C4F156DF6E}" name="Self-Assessment Completed" dataDxfId="732"/>
    <tableColumn id="5" xr3:uid="{2066F77F-BEC9-496A-B07D-3698E82FC467}" name="Achieved Conformance with Standard 1" dataDxfId="731"/>
    <tableColumn id="6" xr3:uid="{7D8FAA3F-7FF5-4FF9-84A1-C64E00D47295}" name="Achieved Conformance with Standard 2" dataDxfId="730"/>
    <tableColumn id="7" xr3:uid="{B723FEC7-8A0A-4002-8F1F-D2D1E0B7BD02}" name="Achieved Conformance with Standard 3" dataDxfId="729"/>
    <tableColumn id="8" xr3:uid="{CDD58DAD-8714-4B06-BF59-1FB50DAF2D1E}" name="Achieved Conformance with Standard 4" dataDxfId="728"/>
    <tableColumn id="9" xr3:uid="{08193A86-FDB9-454C-A41E-D42AB6DA43FA}" name="Achieved Conformance with Standard 5" dataDxfId="727"/>
    <tableColumn id="10" xr3:uid="{5091B54C-2E43-4F86-9D5F-F50C0F0AEAAF}" name="Achieved Conformance with Standard 6" dataDxfId="726"/>
    <tableColumn id="11" xr3:uid="{A26EF3F1-9C5B-4D59-8BD4-8608D150DCD2}" name="Achieved Conformance with Standard 7" dataDxfId="725"/>
    <tableColumn id="12" xr3:uid="{5D7D24E5-DC78-4ECA-B7AE-CAC154D18D8C}" name="Achieved Conformance with Standard 8" dataDxfId="724"/>
    <tableColumn id="13" xr3:uid="{958F6593-B2D4-4DC6-AE2F-8F6FE581192A}" name="Achieved Conformance with Standard 9" dataDxfId="723"/>
    <tableColumn id="14" xr3:uid="{80AB7093-C7A2-4B31-B3CA-2FC139E0D0EB}" name="Jurisdiction Contact" dataDxfId="722">
      <calculatedColumnFormula>HYPERLINK("mailto:albert.mancuso@la.gov","Albert Mancuso")</calculatedColumnFormula>
    </tableColumn>
    <tableColumn id="15" xr3:uid="{154990F0-F5FD-47A3-8C9F-D3918951FE16}" name="FDA Contact" dataDxfId="721">
      <calculatedColumnFormula>HYPERLINK("mailto:Cameron.Wiggins@fda.hhs.gov","Cameron Wiggins")</calculatedColumnFormula>
    </tableColumn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9B1A6E8C-3B58-4194-87F3-5E810B5CA372}" name="Table_Maine" displayName="Table_Maine" ref="A3:O5" totalsRowShown="0" headerRowDxfId="700" dataDxfId="719" headerRowBorderDxfId="717" tableBorderDxfId="718" totalsRowBorderDxfId="716">
  <autoFilter ref="A3:O5" xr:uid="{990C4869-32D4-4D5E-A792-A1EF78C69BD6}"/>
  <tableColumns count="15">
    <tableColumn id="1" xr3:uid="{C3B17F4D-88D4-43CB-9326-122589FB093C}" name="Enrolled Jurisdiction Name" dataDxfId="715"/>
    <tableColumn id="2" xr3:uid="{79C9F998-62F8-45EE-95A1-E7EF16DEADD3}" name="Enrollment Date" dataDxfId="714"/>
    <tableColumn id="3" xr3:uid="{72C2B14C-8036-4351-BC06-F2CE2C218481}" name="Self-Assessment Period" dataDxfId="713"/>
    <tableColumn id="4" xr3:uid="{F59D8DA0-1FC2-49D0-BE2C-6FC39E886CB7}" name="Self-Assessment Completed" dataDxfId="712"/>
    <tableColumn id="5" xr3:uid="{05FA1570-6740-412E-8E41-03EE1D04AE6D}" name="Achieved Conformance with Standard 1" dataDxfId="711"/>
    <tableColumn id="6" xr3:uid="{8BBA5E2F-9E5C-4B35-B1C9-B2B5AEF70CE0}" name="Achieved Conformance with Standard 2" dataDxfId="710"/>
    <tableColumn id="7" xr3:uid="{4ADCA588-13EF-41B9-BF29-7E89BD73A90A}" name="Achieved Conformance with Standard 3" dataDxfId="709"/>
    <tableColumn id="8" xr3:uid="{3FF105A2-B78E-4A65-9B94-A141F9F71626}" name="Achieved Conformance with Standard 4" dataDxfId="708"/>
    <tableColumn id="9" xr3:uid="{E1B7F253-91A3-4546-B26A-B5777615C3B7}" name="Achieved Conformance with Standard 5" dataDxfId="707"/>
    <tableColumn id="10" xr3:uid="{2334F602-0DF7-4CE4-BBD5-37B5EC335B18}" name="Achieved Conformance with Standard 6" dataDxfId="706"/>
    <tableColumn id="11" xr3:uid="{101A4B94-5B21-4B49-85F8-E488415C2444}" name="Achieved Conformance with Standard 7" dataDxfId="705"/>
    <tableColumn id="12" xr3:uid="{6D361BDB-16A2-47AB-9081-1670B9C80A16}" name="Achieved Conformance with Standard 8" dataDxfId="704"/>
    <tableColumn id="13" xr3:uid="{36578690-4452-4C8D-8BE5-ED5307AD4C51}" name="Achieved Conformance with Standard 9" dataDxfId="703"/>
    <tableColumn id="14" xr3:uid="{F4E86DC5-E90B-4BA1-841C-85FCDDEB9032}" name="Jurisdiction Contact" dataDxfId="702"/>
    <tableColumn id="15" xr3:uid="{C072FFEC-97B5-4814-8C98-56E6809F5C8E}" name="FDA Contact" dataDxfId="701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43778705-27B0-4DE3-B2F2-18BC59E00E65}" name="Table_Maryland" displayName="Table_Maryland" ref="A3:O13" totalsRowShown="0" headerRowDxfId="680" dataDxfId="699" headerRowBorderDxfId="697" tableBorderDxfId="698" totalsRowBorderDxfId="696">
  <autoFilter ref="A3:O13" xr:uid="{73BF6F7C-365B-4939-A65C-BDF413EC08D0}"/>
  <tableColumns count="15">
    <tableColumn id="1" xr3:uid="{BCCC3A8A-6902-4D01-8565-DD09BA85E4FA}" name="Enrolled Jurisdiction Name" dataDxfId="695"/>
    <tableColumn id="2" xr3:uid="{A93CD163-3BD7-4184-8342-57CB6D19C11D}" name="Enrollment Date" dataDxfId="694"/>
    <tableColumn id="3" xr3:uid="{91F41E53-A16C-4174-A788-77091F46DE5D}" name="Self-Assessment Period" dataDxfId="693"/>
    <tableColumn id="4" xr3:uid="{22A6850E-0D15-4887-87E1-CAE1F98F1AD6}" name="Self-Assessment Completed" dataDxfId="692"/>
    <tableColumn id="5" xr3:uid="{AEE3FE21-86F2-4762-98F4-37C41D04A4BB}" name="Achieved Conformance with Standard 1" dataDxfId="691"/>
    <tableColumn id="6" xr3:uid="{1922AF07-BDAA-470E-89CD-2D8D875ECAD2}" name="Achieved Conformance with Standard 2" dataDxfId="690"/>
    <tableColumn id="7" xr3:uid="{C59E29BC-D881-4E99-AC8B-7B8D73976232}" name="Achieved Conformance with Standard 3" dataDxfId="689"/>
    <tableColumn id="8" xr3:uid="{91CB5BC8-2BFD-46C2-A272-BC684088DCB0}" name="Achieved Conformance with Standard 4" dataDxfId="688"/>
    <tableColumn id="9" xr3:uid="{27B08718-9B3A-4435-8DF2-9FAFFFFBC607}" name="Achieved Conformance with Standard 5" dataDxfId="687"/>
    <tableColumn id="10" xr3:uid="{9901A5BF-0B74-412B-9A8B-5F3CB5E689C8}" name="Achieved Conformance with Standard 6" dataDxfId="686"/>
    <tableColumn id="11" xr3:uid="{A6828DA0-781A-4DE5-A5B1-6672E13EEA79}" name="Achieved Conformance with Standard 7" dataDxfId="685"/>
    <tableColumn id="12" xr3:uid="{133FC207-3035-4DB8-B703-130B3F1FA9F3}" name="Achieved Conformance with Standard 8" dataDxfId="684"/>
    <tableColumn id="13" xr3:uid="{335CEBEA-BFBA-409B-BEB0-99307E03495C}" name="Achieved Conformance with Standard 9" dataDxfId="683"/>
    <tableColumn id="14" xr3:uid="{C734EB60-5C3C-4823-B5EC-87C1136F4A9E}" name="Jurisdiction Contact" dataDxfId="682"/>
    <tableColumn id="15" xr3:uid="{10DD1C44-E8D6-4D93-9935-D9726BD486B9}" name="FDA Contact" dataDxfId="681"/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20CC6CFF-D747-4CFE-B544-000DC1AA4F9F}" name="Table_Massachusetts" displayName="Table_Massachusetts" ref="A3:O107" totalsRowShown="0" headerRowDxfId="660" dataDxfId="679" headerRowBorderDxfId="677" tableBorderDxfId="678" totalsRowBorderDxfId="676">
  <autoFilter ref="A3:O107" xr:uid="{78EF778C-EE6B-49E4-A3E1-4662665D51D2}"/>
  <tableColumns count="15">
    <tableColumn id="1" xr3:uid="{59489FF7-BC49-43F8-82D8-4C3AFFBFCC4C}" name="Enrolled Jurisdiction Name" dataDxfId="675"/>
    <tableColumn id="2" xr3:uid="{DEDBED0F-3A75-4B20-8745-5246650BA367}" name="Enrollment Date" dataDxfId="674"/>
    <tableColumn id="3" xr3:uid="{CBD35666-2D21-40AF-9531-67DEAA568309}" name="Self-Assessment Period" dataDxfId="673"/>
    <tableColumn id="4" xr3:uid="{8ECD1DEC-4568-4110-BB6A-F2D924CB6BD4}" name="Self-Assessment Completed" dataDxfId="672"/>
    <tableColumn id="5" xr3:uid="{606FFFC1-F745-4EE1-8B97-1EAADFC2A3F4}" name="Achieved Conformance with Standard 1" dataDxfId="671"/>
    <tableColumn id="6" xr3:uid="{22BB23BE-1DEA-4494-8D56-67CE77C5D99E}" name="Achieved Conformance with Standard 2" dataDxfId="670"/>
    <tableColumn id="7" xr3:uid="{65047AE0-54D2-4344-85CF-933D2EDD348E}" name="Achieved Conformance with Standard 3" dataDxfId="669"/>
    <tableColumn id="8" xr3:uid="{85603ACC-58E0-46EA-9C1F-AB40C795B1D8}" name="Achieved Conformance with Standard 4" dataDxfId="668"/>
    <tableColumn id="9" xr3:uid="{754595D1-3B94-4E83-82B4-3BC97D0DFFDC}" name="Achieved Conformance with Standard 5" dataDxfId="667"/>
    <tableColumn id="10" xr3:uid="{E1A7A457-D533-4AD2-B155-80CAD869A99D}" name="Achieved Conformance with Standard 6" dataDxfId="666"/>
    <tableColumn id="11" xr3:uid="{8D28BCF8-5681-45AC-B18B-34D23C380534}" name="Achieved Conformance with Standard 7" dataDxfId="665"/>
    <tableColumn id="12" xr3:uid="{4997A5A9-B04E-45AD-9C8B-FF282850D596}" name="Achieved Conformance with Standard 8" dataDxfId="664"/>
    <tableColumn id="13" xr3:uid="{8AFAD8C4-8B30-4EBE-BDA4-ACB1EA2E15C2}" name="Achieved Conformance with Standard 9" dataDxfId="663"/>
    <tableColumn id="14" xr3:uid="{1DC5B71E-CE1A-45EB-9967-9AEE62A048D3}" name="Jurisdiction Contact" dataDxfId="662"/>
    <tableColumn id="15" xr3:uid="{76382632-E289-4E02-B85E-6C30CE31B719}" name="FDA Contact" dataDxfId="661"/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BCF15B10-1904-4666-8913-D96C78B5D0D3}" name="Table_Michigan" displayName="Table_Michigan" ref="A3:O46" totalsRowShown="0" headerRowDxfId="640" dataDxfId="659" headerRowBorderDxfId="657" tableBorderDxfId="658" totalsRowBorderDxfId="656">
  <autoFilter ref="A3:O46" xr:uid="{A4D210EA-0989-4346-A9EA-915367E69235}"/>
  <tableColumns count="15">
    <tableColumn id="1" xr3:uid="{1679BDC6-1158-4777-BB72-2663C55482D2}" name="Enrolled Jurisdiction Name" dataDxfId="655"/>
    <tableColumn id="2" xr3:uid="{06093597-5198-4AF1-834B-11A45069A82A}" name="Enrollment Date" dataDxfId="654"/>
    <tableColumn id="3" xr3:uid="{E0594AB0-A724-40EF-AA17-090C02303FA2}" name="Self-Assessment Period" dataDxfId="653"/>
    <tableColumn id="4" xr3:uid="{81AEC063-069A-44AB-9126-95F778F45085}" name="Self-Assessment Completed" dataDxfId="652"/>
    <tableColumn id="5" xr3:uid="{1F97A408-A231-4DEF-BB45-5C1B85A437D9}" name="Achieved Conformance with Standard 1" dataDxfId="651"/>
    <tableColumn id="6" xr3:uid="{2A9CDE85-5497-46CF-9524-2D1D16A03BC9}" name="Achieved Conformance with Standard 2" dataDxfId="650"/>
    <tableColumn id="7" xr3:uid="{01B39FCE-836A-4293-BB29-5B45D770A334}" name="Achieved Conformance with Standard 3" dataDxfId="649"/>
    <tableColumn id="8" xr3:uid="{8B92AD34-1B3B-4777-A063-37BB89611685}" name="Achieved Conformance with Standard 4" dataDxfId="648"/>
    <tableColumn id="9" xr3:uid="{99226257-69B6-4DE2-8E52-E38FB0E19414}" name="Achieved Conformance with Standard 5" dataDxfId="647"/>
    <tableColumn id="10" xr3:uid="{959966C8-FEDF-4D8E-91AF-16FC45EF3587}" name="Achieved Conformance with Standard 6" dataDxfId="646"/>
    <tableColumn id="11" xr3:uid="{1AB75D73-49B5-4FEA-A99C-90AD1ACE95C0}" name="Achieved Conformance with Standard 7" dataDxfId="645"/>
    <tableColumn id="12" xr3:uid="{8E667DE4-96B4-410D-9138-C57B59B69A01}" name="Achieved Conformance with Standard 8" dataDxfId="644"/>
    <tableColumn id="13" xr3:uid="{D1C683EF-4EEE-4519-8E33-7AC89E33B9B0}" name="Achieved Conformance with Standard 9" dataDxfId="643"/>
    <tableColumn id="14" xr3:uid="{05FA5E1F-851D-42A3-BFEB-CA5253178E0A}" name="Jurisdiction Contact" dataDxfId="642"/>
    <tableColumn id="15" xr3:uid="{24F48568-166D-47D0-BCD1-7ABF444E36E3}" name="FDA Contact" dataDxfId="641"/>
  </tableColumns>
  <tableStyleInfo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F62CBEC8-A73F-4C98-9021-5DAD65917586}" name="Table_Minnesota" displayName="Table_Minnesota" ref="A3:O44" totalsRowShown="0" headerRowDxfId="620" dataDxfId="639" headerRowBorderDxfId="637" tableBorderDxfId="638" totalsRowBorderDxfId="636">
  <autoFilter ref="A3:O44" xr:uid="{72A3C82E-EF9A-47A0-A527-E6C367F8A032}"/>
  <tableColumns count="15">
    <tableColumn id="1" xr3:uid="{D1143193-60FC-4A71-90BB-19D2994E40D5}" name="Enrolled Jurisdiction Name" dataDxfId="635"/>
    <tableColumn id="2" xr3:uid="{CB520694-6133-441E-BB69-B44236643B21}" name="Enrollment Date" dataDxfId="634"/>
    <tableColumn id="3" xr3:uid="{EE453DCA-8980-415F-B845-FC84476B1410}" name="Self-Assessment Period" dataDxfId="633"/>
    <tableColumn id="4" xr3:uid="{8EE86F4B-FC2C-4BC9-9BFB-8BB39CDE3F56}" name="Self-Assessment Completed" dataDxfId="632"/>
    <tableColumn id="5" xr3:uid="{3D5B8897-31A8-4C09-A487-82B9BC32B263}" name="Achieved Conformance with Standard 1" dataDxfId="631"/>
    <tableColumn id="6" xr3:uid="{410A73EA-2687-47F4-B2AF-9ED58FB81389}" name="Achieved Conformance with Standard 2" dataDxfId="630"/>
    <tableColumn id="7" xr3:uid="{B2CA2304-53BA-43E6-8CA2-FE89B79445F5}" name="Achieved Conformance with Standard 3" dataDxfId="629"/>
    <tableColumn id="8" xr3:uid="{D31A31FD-B25B-478B-8C8C-0D7D640BDC47}" name="Achieved Conformance with Standard 4" dataDxfId="628"/>
    <tableColumn id="9" xr3:uid="{6D06684D-BDCB-41FD-A8D2-586498AB4A13}" name="Achieved Conformance with Standard 5" dataDxfId="627"/>
    <tableColumn id="10" xr3:uid="{D61E4321-B512-45F1-A52B-6D5C65DD4A40}" name="Achieved Conformance with Standard 6" dataDxfId="626"/>
    <tableColumn id="11" xr3:uid="{9FD15BE6-B73C-4EBE-B48F-4379C44689EB}" name="Achieved Conformance with Standard 7" dataDxfId="625"/>
    <tableColumn id="12" xr3:uid="{667BAFFB-4513-4832-A963-C852013908F8}" name="Achieved Conformance with Standard 8" dataDxfId="624"/>
    <tableColumn id="13" xr3:uid="{274CF00B-DA22-4904-8697-B9D4BABEE687}" name="Achieved Conformance with Standard 9" dataDxfId="623"/>
    <tableColumn id="14" xr3:uid="{99B945B5-9943-4211-80F2-8153AE9A0804}" name="Jurisdiction Contact" dataDxfId="622"/>
    <tableColumn id="15" xr3:uid="{6533FDD1-DC18-46D6-AEEC-B5C48D9DFE4A}" name="FDA Contact" dataDxfId="621"/>
  </tableColumns>
  <tableStyleInfo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13D3DD5-CF45-4C31-8198-04896156C410}" name="Table_Mississippi" displayName="Table_Mississippi" ref="A3:O4" totalsRowShown="0" headerRowDxfId="616" dataDxfId="600" headerRowBorderDxfId="618" tableBorderDxfId="619" totalsRowBorderDxfId="617">
  <autoFilter ref="A3:O4" xr:uid="{F6639CC6-97D4-4FB8-B81F-9D5FEE0B9C6B}"/>
  <tableColumns count="15">
    <tableColumn id="1" xr3:uid="{1305741C-2DDD-410C-A7F1-45B86D76C6EC}" name="Enrolled Jurisdiction Name" dataDxfId="615">
      <calculatedColumnFormula>HYPERLINK("http://www.msdh.state.ms.us/msdhsite/index.cfm","Mississippi State Department of Health")</calculatedColumnFormula>
    </tableColumn>
    <tableColumn id="2" xr3:uid="{9CC8DED2-60C1-4B56-ACE5-F4FCF920D24C}" name="Enrollment Date" dataDxfId="614"/>
    <tableColumn id="3" xr3:uid="{4D090092-FCE8-4616-9140-6BF556E423EE}" name="Self-Assessment Period" dataDxfId="613"/>
    <tableColumn id="4" xr3:uid="{0568314F-AC02-4332-BAC0-8004EFA4C8C1}" name="Self-Assessment Completed" dataDxfId="612"/>
    <tableColumn id="5" xr3:uid="{35D422CE-B925-4F26-88B3-1C5E9A1014DD}" name="Achieved Conformance with Standard 1" dataDxfId="611"/>
    <tableColumn id="6" xr3:uid="{1F7D21F8-3E43-4FF1-8283-3C6D83F060B1}" name="Achieved Conformance with Standard 2" dataDxfId="610"/>
    <tableColumn id="7" xr3:uid="{97A6B903-A46F-4332-A590-133782520BDF}" name="Achieved Conformance with Standard 3" dataDxfId="609"/>
    <tableColumn id="8" xr3:uid="{A40A7E8E-60A5-459C-B4F6-95EAAB5010BD}" name="Achieved Conformance with Standard 4" dataDxfId="608"/>
    <tableColumn id="9" xr3:uid="{7F93ED44-CD71-4C58-B183-FC011EC2B49A}" name="Achieved Conformance with Standard 5" dataDxfId="607"/>
    <tableColumn id="10" xr3:uid="{93422401-468E-4429-8385-32B165CF15C8}" name="Achieved Conformance with Standard 6" dataDxfId="606"/>
    <tableColumn id="11" xr3:uid="{85C8D549-9800-4499-B895-D5ADB63BE306}" name="Achieved Conformance with Standard 7" dataDxfId="605"/>
    <tableColumn id="12" xr3:uid="{651AEA3D-0D82-494A-8314-00F9B03FA787}" name="Achieved Conformance with Standard 8" dataDxfId="604"/>
    <tableColumn id="13" xr3:uid="{6AB8F93D-5721-4DFF-A8FE-C87942A1C77C}" name="Achieved Conformance with Standard 9" dataDxfId="603"/>
    <tableColumn id="14" xr3:uid="{5D623AC0-1EBF-4CE2-A887-F2095811C712}" name="Jurisdiction Contact" dataDxfId="602">
      <calculatedColumnFormula>HYPERLINK("mailto:serena.johnson@msdh.ms.us","Serena Johnson")</calculatedColumnFormula>
    </tableColumn>
    <tableColumn id="15" xr3:uid="{B7F00349-80A7-48E0-93C3-E7975425E384}" name="FDA Contact" dataDxfId="601">
      <calculatedColumnFormula>HYPERLINK("mailto:Joseph.Redditt@fda.hhs.gov","Dan Redditt")</calculatedColumnFormula>
    </tableColumn>
  </tableColumns>
  <tableStyleInfo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2DC972E9-84E2-4ECE-BD9D-12F95553C552}" name="Table_Missouri" displayName="Table_Missouri" ref="A3:O62" totalsRowShown="0" headerRowDxfId="580" dataDxfId="599" headerRowBorderDxfId="597" tableBorderDxfId="598" totalsRowBorderDxfId="596">
  <autoFilter ref="A3:O62" xr:uid="{A5691C91-754E-400A-86DF-15506851DF36}"/>
  <tableColumns count="15">
    <tableColumn id="1" xr3:uid="{7FDBE883-0671-4A01-AFB9-8A19E77FAA54}" name="Enrolled Jurisdiction Name" dataDxfId="595"/>
    <tableColumn id="2" xr3:uid="{1CDAB29E-8570-48DD-B605-3CD2BBB691E9}" name="Enrollment Date" dataDxfId="594"/>
    <tableColumn id="3" xr3:uid="{5064E643-F82D-4F59-9C14-198A7B7438BB}" name="Self-Assessment Period" dataDxfId="593"/>
    <tableColumn id="4" xr3:uid="{9D6C421F-6BDB-419D-9491-FA60A528C3A2}" name="Self-Assessment Completed" dataDxfId="592"/>
    <tableColumn id="5" xr3:uid="{FFF05D8C-D598-426E-9B8A-C049DF079CA1}" name="Achieved Conformance with Standard 1" dataDxfId="591"/>
    <tableColumn id="6" xr3:uid="{EC682432-D597-40CF-8AAF-6B2F970F6A84}" name="Achieved Conformance with Standard 2" dataDxfId="590"/>
    <tableColumn id="7" xr3:uid="{71FFC406-CEB5-425A-83C8-B1355DC0F50E}" name="Achieved Conformance with Standard 3" dataDxfId="589"/>
    <tableColumn id="8" xr3:uid="{4F490BB0-27F9-48A1-91D7-A557CB325B62}" name="Achieved Conformance with Standard 4" dataDxfId="588"/>
    <tableColumn id="9" xr3:uid="{226CF525-EEC3-4E5F-87F9-9575D4FA80F1}" name="Achieved Conformance with Standard 5" dataDxfId="587"/>
    <tableColumn id="10" xr3:uid="{6AAA4851-1EB1-4395-A093-33752FAEA9F3}" name="Achieved Conformance with Standard 6" dataDxfId="586"/>
    <tableColumn id="11" xr3:uid="{80C96406-1196-41C9-84EC-8420FC763E6D}" name="Achieved Conformance with Standard 7" dataDxfId="585"/>
    <tableColumn id="12" xr3:uid="{764149AC-2A90-4E9C-9544-5C0086FDB9E6}" name="Achieved Conformance with Standard 8" dataDxfId="584"/>
    <tableColumn id="13" xr3:uid="{2DB51064-2B5F-4C81-81F6-95365F3FB92C}" name="Achieved Conformance with Standard 9" dataDxfId="583"/>
    <tableColumn id="14" xr3:uid="{06F3E846-7C4D-4125-A5C3-9E8F5B959685}" name="Jurisdiction Contact" dataDxfId="582"/>
    <tableColumn id="15" xr3:uid="{990079B1-AE45-4CA1-B02B-489213ACFB6B}" name="FDA Contact" dataDxfId="581"/>
  </tableColumns>
  <tableStyleInfo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43880CAD-C2B4-4E75-9989-51D2E1223242}" name="Table_Montana" displayName="Table_Montana" ref="A3:O43" totalsRowShown="0" headerRowDxfId="560" dataDxfId="579" headerRowBorderDxfId="577" tableBorderDxfId="578" totalsRowBorderDxfId="576">
  <autoFilter ref="A3:O43" xr:uid="{9BE51D9F-C712-4AA2-869C-AB918015D4C6}"/>
  <tableColumns count="15">
    <tableColumn id="1" xr3:uid="{7B8B826E-0658-4EDC-92E0-B3B68CAD1BCF}" name="Enrolled Jurisdiction Name" dataDxfId="575"/>
    <tableColumn id="2" xr3:uid="{AFBB2A56-29B5-4963-9C16-6F02AFAFFC87}" name="Enrollment Date" dataDxfId="574"/>
    <tableColumn id="3" xr3:uid="{67F2B019-8A58-4D8B-A0A6-DC7DB2CDFF15}" name="Self-Assessment Period" dataDxfId="573"/>
    <tableColumn id="4" xr3:uid="{9B0C5B86-4A5B-40F8-A806-8041AABEB509}" name="Self-Assessment Completed" dataDxfId="572"/>
    <tableColumn id="5" xr3:uid="{045AD10B-F22C-4F17-B113-BEDBFA5644ED}" name="Achieved Conformance with Standard 1" dataDxfId="571"/>
    <tableColumn id="6" xr3:uid="{23BD2DB9-5CFD-4739-B3C9-C1A14C1EA2DA}" name="Achieved Conformance with Standard 2" dataDxfId="570"/>
    <tableColumn id="7" xr3:uid="{E7EB0700-FBBD-4E8A-A4E8-2461B6667BA5}" name="Achieved Conformance with Standard 3" dataDxfId="569"/>
    <tableColumn id="8" xr3:uid="{291F1CB2-4004-44CA-8C04-D18B8E5100BD}" name="Achieved Conformance with Standard 4" dataDxfId="568"/>
    <tableColumn id="9" xr3:uid="{9144902D-346E-4580-BA09-F2470CD0DA80}" name="Achieved Conformance with Standard 5" dataDxfId="567"/>
    <tableColumn id="10" xr3:uid="{397D453A-715E-49DF-B1AF-292E3B40F3A3}" name="Achieved Conformance with Standard 6" dataDxfId="566"/>
    <tableColumn id="11" xr3:uid="{2993D098-6E58-4027-A6EA-B9ED063120C5}" name="Achieved Conformance with Standard 7" dataDxfId="565"/>
    <tableColumn id="12" xr3:uid="{282DB15D-50A5-44D4-9869-336F4A35F752}" name="Achieved Conformance with Standard 8" dataDxfId="564"/>
    <tableColumn id="13" xr3:uid="{58001E00-60FD-4CA8-B1E0-EF7C4E7F0711}" name="Achieved Conformance with Standard 9" dataDxfId="563"/>
    <tableColumn id="14" xr3:uid="{603FB238-51F8-4B74-B786-31B9F6407AD3}" name="Jurisdiction Contact" dataDxfId="562"/>
    <tableColumn id="15" xr3:uid="{81BC8493-1A7A-4764-9B46-67F267DC9B2C}" name="FDA Contact" dataDxfId="561"/>
  </tableColumns>
  <tableStyleInfo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2F396EB9-81D3-4D54-87E7-772BE48AE083}" name="Table_Nebraska" displayName="Table_Nebraska" ref="A3:O15" totalsRowShown="0" headerRowDxfId="540" dataDxfId="559" headerRowBorderDxfId="557" tableBorderDxfId="558" totalsRowBorderDxfId="556">
  <autoFilter ref="A3:O15" xr:uid="{8E660856-3FC9-4357-81BB-4403ADED582E}"/>
  <tableColumns count="15">
    <tableColumn id="1" xr3:uid="{F6DA8E77-2164-4C4C-87BE-46612B326EE0}" name="Enrolled Jurisdiction Name" dataDxfId="555"/>
    <tableColumn id="2" xr3:uid="{0E67676E-3C47-41C9-9DB6-AAFB854F2A11}" name="Enrollment Date" dataDxfId="554"/>
    <tableColumn id="3" xr3:uid="{DD3FDE17-8796-4182-A82C-7EBFD1B55405}" name="Self-Assessment Period" dataDxfId="553"/>
    <tableColumn id="4" xr3:uid="{2578132E-3CF4-4A47-84A3-88CDF164FD6A}" name="Self-Assessment Completed" dataDxfId="552"/>
    <tableColumn id="5" xr3:uid="{7AC26602-A6D6-4B28-946F-CA50570CD8F4}" name="Achieved Conformance with Standard 1" dataDxfId="551"/>
    <tableColumn id="6" xr3:uid="{9A0116DB-ACCA-4378-9D92-FA7114C71D9E}" name="Achieved Conformance with Standard 2" dataDxfId="550"/>
    <tableColumn id="7" xr3:uid="{53ADADB8-20BB-4053-98CA-502B51CEE857}" name="Achieved Conformance with Standard 3" dataDxfId="549"/>
    <tableColumn id="8" xr3:uid="{3EFFE9C6-C8E7-4E5C-AF3F-20EE0B35B881}" name="Achieved Conformance with Standard 4" dataDxfId="548"/>
    <tableColumn id="9" xr3:uid="{3CF9A6F3-0995-4885-B5EB-B55B2EBC4D1A}" name="Achieved Conformance with Standard 5" dataDxfId="547"/>
    <tableColumn id="10" xr3:uid="{AD426580-C54B-4FE1-B5B5-CAC8C456DD97}" name="Achieved Conformance with Standard 6" dataDxfId="546"/>
    <tableColumn id="11" xr3:uid="{F66D3F25-AAD4-4E0F-B209-F6108363C551}" name="Achieved Conformance with Standard 7" dataDxfId="545"/>
    <tableColumn id="12" xr3:uid="{0BA46F9B-90DD-4F62-9B85-7F3970D9E739}" name="Achieved Conformance with Standard 8" dataDxfId="544"/>
    <tableColumn id="13" xr3:uid="{82F56D4C-F8CB-423B-8331-0D1AB82C6419}" name="Achieved Conformance with Standard 9" dataDxfId="543"/>
    <tableColumn id="14" xr3:uid="{4A91D0BE-66A2-450E-B17C-A05E6EDE7711}" name="Jurisdiction Contact" dataDxfId="542"/>
    <tableColumn id="15" xr3:uid="{19FC9993-9468-4F73-8702-A2C4F8C947A8}" name="FDA Contact" dataDxfId="541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7D85FEB-1311-4E4E-A8C5-AB62F5925D44}" name="Table_AmericanSamoa" displayName="Table_AmericanSamoa" ref="A3:O4" totalsRowShown="0" headerRowDxfId="1076" dataDxfId="1060" headerRowBorderDxfId="1078" tableBorderDxfId="1079" totalsRowBorderDxfId="1077">
  <autoFilter ref="A3:O4" xr:uid="{79213435-8A49-4D7E-92C9-E0E15B9A4117}"/>
  <tableColumns count="15">
    <tableColumn id="1" xr3:uid="{BDA4A809-722F-4673-A63A-C5400EFDFEC4}" name="Enrolled Jurisdiction Name" dataDxfId="1075"/>
    <tableColumn id="2" xr3:uid="{AFE64B9E-ECA4-4EB5-BE30-0546A8E510DE}" name="Enrollment Date" dataDxfId="1074"/>
    <tableColumn id="3" xr3:uid="{4DFF61D9-FB8F-4540-AB7F-8FDE19E85A10}" name="Self-Assessment Period" dataDxfId="1073"/>
    <tableColumn id="4" xr3:uid="{62674BCD-E5C3-4518-86CB-7F535D10FACB}" name="Self-Assessment Completed" dataDxfId="1072"/>
    <tableColumn id="5" xr3:uid="{05405A10-5B32-4814-B87E-3381348FE684}" name="Achieved Conformance with Standard 1" dataDxfId="1071"/>
    <tableColumn id="6" xr3:uid="{D2F5EA70-4A72-4DE6-8561-A9E797DA96D1}" name="Achieved Conformance with Standard 2" dataDxfId="1070"/>
    <tableColumn id="7" xr3:uid="{4897A1A3-88B7-46F7-BB53-D87544CCDC90}" name="Achieved Conformance with Standard 3" dataDxfId="1069"/>
    <tableColumn id="8" xr3:uid="{F906DF16-7A9B-4EC9-B090-EF1DD7DBA79E}" name="Achieved Conformance with Standard 4" dataDxfId="1068"/>
    <tableColumn id="9" xr3:uid="{F21685E5-EEDE-49FF-9089-6764FF620F94}" name="Achieved Conformance with Standard 5" dataDxfId="1067"/>
    <tableColumn id="10" xr3:uid="{DF8C40FA-D7D1-41A7-9677-01343A202E3B}" name="Achieved Conformance with Standard 6" dataDxfId="1066"/>
    <tableColumn id="11" xr3:uid="{4DE3B64B-2CE9-466B-84E6-FB266FF413E6}" name="Achieved Conformance with Standard 7" dataDxfId="1065"/>
    <tableColumn id="12" xr3:uid="{FDF36244-903C-4337-A1D8-FBD2B503EC7F}" name="Achieved Conformance with Standard 8" dataDxfId="1064"/>
    <tableColumn id="13" xr3:uid="{2D84E992-DA29-4FED-8686-19F7C9EC73E5}" name="Achieved Conformance with Standard 9" dataDxfId="1063"/>
    <tableColumn id="14" xr3:uid="{17B71019-A66D-417B-9720-8BF7A7C35BDE}" name="Jurisdiction Contact" dataDxfId="1062">
      <calculatedColumnFormula>HYPERLINK("mailto:sslemusu@gmail.com","Siitia Soliai-Lemusu")</calculatedColumnFormula>
    </tableColumn>
    <tableColumn id="15" xr3:uid="{D60AB31A-D782-4816-8234-23B9C89465C1}" name="FDA Contact" dataDxfId="1061">
      <calculatedColumnFormula>HYPERLINK("mailto:Richard.Ramirez@fda.hhs.gov","Richard Ramirez")</calculatedColumnFormula>
    </tableColumn>
  </tableColumns>
  <tableStyleInfo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7FBA318D-2129-482C-9253-D6F275CFA243}" name="Table_Nevada" displayName="Table_Nevada" ref="A3:O11" totalsRowShown="0" headerRowDxfId="520" dataDxfId="539" headerRowBorderDxfId="537" tableBorderDxfId="538" totalsRowBorderDxfId="536">
  <autoFilter ref="A3:O11" xr:uid="{819D3583-FC41-419E-BA76-7EC39E0B81D0}"/>
  <tableColumns count="15">
    <tableColumn id="1" xr3:uid="{53F18E15-37A9-4639-86D0-65094662B13F}" name="Enrolled Jurisdiction Name" dataDxfId="535"/>
    <tableColumn id="2" xr3:uid="{7FB89A69-F38F-4E80-93FF-FD8B12E54663}" name="Enrollment Date" dataDxfId="534"/>
    <tableColumn id="3" xr3:uid="{58E42A57-1C4D-4AC0-A3ED-A7AB61431EC5}" name="Self-Assessment Period" dataDxfId="533"/>
    <tableColumn id="4" xr3:uid="{12528566-2EC2-4038-8E22-B636DDEE1C5A}" name="Self-Assessment Completed" dataDxfId="532"/>
    <tableColumn id="5" xr3:uid="{E826EDCF-BD68-49E7-9DDE-7B684EE79DA2}" name="Achieved Conformance with Standard 1" dataDxfId="531"/>
    <tableColumn id="6" xr3:uid="{7016624C-8D15-40D1-9309-9AB5FDDB533D}" name="Achieved Conformance with Standard 2" dataDxfId="530"/>
    <tableColumn id="7" xr3:uid="{0DEE3A40-6C2C-4152-80A8-1AF7D36F8D39}" name="Achieved Conformance with Standard 3" dataDxfId="529"/>
    <tableColumn id="8" xr3:uid="{364A41A1-D3BB-4226-9F5D-443341A697E1}" name="Achieved Conformance with Standard 4" dataDxfId="528"/>
    <tableColumn id="9" xr3:uid="{524D6B9E-193F-4F93-B02D-2C2B4624AF12}" name="Achieved Conformance with Standard 5" dataDxfId="527"/>
    <tableColumn id="10" xr3:uid="{5BAA6E65-0A06-4C02-9295-763BB8AF0560}" name="Achieved Conformance with Standard 6" dataDxfId="526"/>
    <tableColumn id="11" xr3:uid="{7F17AC14-D81E-42A9-896F-DB6B481F150A}" name="Achieved Conformance with Standard 7" dataDxfId="525"/>
    <tableColumn id="12" xr3:uid="{973CF94C-FC9D-4931-A00E-15E740BB1688}" name="Achieved Conformance with Standard 8" dataDxfId="524"/>
    <tableColumn id="13" xr3:uid="{C471D9D4-FBD4-4497-88F2-24D5BD101CAB}" name="Achieved Conformance with Standard 9" dataDxfId="523"/>
    <tableColumn id="14" xr3:uid="{E5116E86-DE52-4D61-A0E8-890DC424958E}" name="Jurisdiction Contact" dataDxfId="522"/>
    <tableColumn id="15" xr3:uid="{9E26C5BF-B77A-4839-913F-00ADBB33CF5C}" name="FDA Contact" dataDxfId="521"/>
  </tableColumns>
  <tableStyleInfo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F553EBDC-6478-4714-899F-94882DBF6FCF}" name="Table_New Hampshire" displayName="Table_New_Hampshire" ref="A3:O12" totalsRowShown="0" headerRowDxfId="500" dataDxfId="519" headerRowBorderDxfId="517" tableBorderDxfId="518" totalsRowBorderDxfId="516">
  <autoFilter ref="A3:O12" xr:uid="{5C7F1C0C-5FA5-4D4E-BAB2-A741A7AA8725}"/>
  <tableColumns count="15">
    <tableColumn id="1" xr3:uid="{80FABA31-9590-4011-84AE-0EAD32EFD240}" name="Enrolled Jurisdiction Name" dataDxfId="515"/>
    <tableColumn id="2" xr3:uid="{380F4F26-3743-4F8D-9FCC-2E0DC306FF35}" name="Enrollment Date" dataDxfId="514"/>
    <tableColumn id="3" xr3:uid="{1462C47C-E8AE-4978-997A-4060399951CB}" name="Self-Assessment Period" dataDxfId="513"/>
    <tableColumn id="4" xr3:uid="{44F62802-41D2-4D93-9F6F-A1B8CA3BE54B}" name="Self-Assessment Completed" dataDxfId="512"/>
    <tableColumn id="5" xr3:uid="{74CFE6D3-D118-46E1-9C1E-F96234618D14}" name="Achieved Conformance with Standard 1" dataDxfId="511"/>
    <tableColumn id="6" xr3:uid="{AD1C97EA-1045-4719-BEDE-C94CD8E1F29A}" name="Achieved Conformance with Standard 2" dataDxfId="510"/>
    <tableColumn id="7" xr3:uid="{75EE8EAE-8C73-4D19-B619-95E7540502E7}" name="Achieved Conformance with Standard 3" dataDxfId="509"/>
    <tableColumn id="8" xr3:uid="{06C6C2E2-04F8-4F30-8770-408BD15C418A}" name="Achieved Conformance with Standard 4" dataDxfId="508"/>
    <tableColumn id="9" xr3:uid="{AA846DA9-DB80-4084-8933-CAC67A77221D}" name="Achieved Conformance with Standard 5" dataDxfId="507"/>
    <tableColumn id="10" xr3:uid="{61AFFA64-D836-4F1F-ADDA-9D7BEAED2697}" name="Achieved Conformance with Standard 6" dataDxfId="506"/>
    <tableColumn id="11" xr3:uid="{85D3480A-3351-451F-91FC-FF96E3251439}" name="Achieved Conformance with Standard 7" dataDxfId="505"/>
    <tableColumn id="12" xr3:uid="{BD25373C-E22E-40D1-9F0A-2028E0C8F89D}" name="Achieved Conformance with Standard 8" dataDxfId="504"/>
    <tableColumn id="13" xr3:uid="{668A9E20-4224-4415-BE36-C07C03FE648C}" name="Achieved Conformance with Standard 9" dataDxfId="503"/>
    <tableColumn id="14" xr3:uid="{6702749F-8BB6-48AC-AC2A-737FEE616444}" name="Jurisdiction Contact" dataDxfId="502"/>
    <tableColumn id="15" xr3:uid="{772109FE-5F47-4FE3-BC9E-A890671DA9D2}" name="FDA Contact" dataDxfId="501"/>
  </tableColumns>
  <tableStyleInfo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2933CB55-34AD-4D0C-AA5A-4906D160DD4C}" name="Table_New Jersey" displayName="Table_New_Jersey" ref="A3:O15" totalsRowShown="0" headerRowDxfId="480" dataDxfId="499" headerRowBorderDxfId="497" tableBorderDxfId="498" totalsRowBorderDxfId="496">
  <autoFilter ref="A3:O15" xr:uid="{6B947593-58AD-42A3-B1CE-74CCA8843E23}"/>
  <tableColumns count="15">
    <tableColumn id="1" xr3:uid="{06BA5626-4B47-4844-B636-99E22555E079}" name="Enrolled Jurisdiction Name" dataDxfId="495"/>
    <tableColumn id="2" xr3:uid="{BDDFA24A-855A-4D5D-A35A-9219FCA752CF}" name="Enrollment Date" dataDxfId="494"/>
    <tableColumn id="3" xr3:uid="{49A73FC2-AB6B-4C5D-AF50-BF90C7C8BB02}" name="Self-Assessment Period" dataDxfId="493"/>
    <tableColumn id="4" xr3:uid="{8A9B78EC-1DDC-40AB-9D95-91EDFEDC7F95}" name="Self-Assessment Completed" dataDxfId="492"/>
    <tableColumn id="5" xr3:uid="{67C6C058-C29A-4488-80AD-12B2B997C395}" name="Achieved Conformance with Standard 1" dataDxfId="491"/>
    <tableColumn id="6" xr3:uid="{DA882A6F-488A-4F94-A8F8-CD3934CB0B90}" name="Achieved Conformance with Standard 2" dataDxfId="490"/>
    <tableColumn id="7" xr3:uid="{478C72B6-AE07-4420-9084-CE61F8CCF038}" name="Achieved Conformance with Standard 3" dataDxfId="489"/>
    <tableColumn id="8" xr3:uid="{3CED0553-E724-46FF-869F-B8135CBDF920}" name="Achieved Conformance with Standard 4" dataDxfId="488"/>
    <tableColumn id="9" xr3:uid="{572A4534-51DA-4A4E-AE2D-2CA1CA4D181C}" name="Achieved Conformance with Standard 5" dataDxfId="487"/>
    <tableColumn id="10" xr3:uid="{BF7B9983-7413-4455-A94A-52569EAA57FC}" name="Achieved Conformance with Standard 6" dataDxfId="486"/>
    <tableColumn id="11" xr3:uid="{87EBCA49-D5B8-447C-9239-6022C4132F3E}" name="Achieved Conformance with Standard 7" dataDxfId="485"/>
    <tableColumn id="12" xr3:uid="{243F58E5-A656-4DFE-95CD-967945798CC1}" name="Achieved Conformance with Standard 8" dataDxfId="484"/>
    <tableColumn id="13" xr3:uid="{FD6776D3-5E67-4BDA-AFA5-00092A195406}" name="Achieved Conformance with Standard 9" dataDxfId="483"/>
    <tableColumn id="14" xr3:uid="{F8E0BF2B-DA46-4644-91BB-29A2282A7881}" name="Jurisdiction Contact" dataDxfId="482"/>
    <tableColumn id="15" xr3:uid="{BA577A7E-F51D-4762-8D61-5E88D64E209E}" name="FDA Contact" dataDxfId="481"/>
  </tableColumns>
  <tableStyleInfo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2C92AA1F-4BEC-4B8B-A8DB-A54DDA8A1B4F}" name="Table_New Mexico" displayName="Table_New_Mexico" ref="A3:O11" totalsRowShown="0" headerRowDxfId="460" dataDxfId="479" headerRowBorderDxfId="477" tableBorderDxfId="478" totalsRowBorderDxfId="476">
  <autoFilter ref="A3:O11" xr:uid="{90F5F493-C439-434E-927F-9145D70D7E48}"/>
  <tableColumns count="15">
    <tableColumn id="1" xr3:uid="{594690CE-456C-4A26-B144-7D1A44733074}" name="Enrolled Jurisdiction Name" dataDxfId="475"/>
    <tableColumn id="2" xr3:uid="{A1F12283-7431-4797-90F1-BBB20B92A560}" name="Enrollment Date" dataDxfId="474"/>
    <tableColumn id="3" xr3:uid="{825CFF22-82B7-4852-9F9F-B99AA7EE4CF9}" name="Self-Assessment Period" dataDxfId="473"/>
    <tableColumn id="4" xr3:uid="{4054C75F-9F3E-4D09-93CB-30BE6B9BAADF}" name="Self-Assessment Completed" dataDxfId="472"/>
    <tableColumn id="5" xr3:uid="{DFBF8111-6B9F-4246-BFCE-3DB4F8DD7A1D}" name="Achieved Conformance with Standard 1" dataDxfId="471"/>
    <tableColumn id="6" xr3:uid="{7E8A8306-7F53-48DD-ACA4-9916381DE437}" name="Achieved Conformance with Standard 2" dataDxfId="470"/>
    <tableColumn id="7" xr3:uid="{82A060D6-4E63-4E9D-8408-55ACF79AD407}" name="Achieved Conformance with Standard 3" dataDxfId="469"/>
    <tableColumn id="8" xr3:uid="{11B072B6-627D-4580-BD68-0B1C1B9B6FB3}" name="Achieved Conformance with Standard 4" dataDxfId="468"/>
    <tableColumn id="9" xr3:uid="{9700ECF7-458A-434C-A1B5-C599EF747D37}" name="Achieved Conformance with Standard 5" dataDxfId="467"/>
    <tableColumn id="10" xr3:uid="{143B595F-E1D8-4F2C-B988-0922B6648DB6}" name="Achieved Conformance with Standard 6" dataDxfId="466"/>
    <tableColumn id="11" xr3:uid="{BC8BA2D5-CA6D-4B76-A62C-7AE3E974483C}" name="Achieved Conformance with Standard 7" dataDxfId="465"/>
    <tableColumn id="12" xr3:uid="{ECBA8BD5-C3AE-4873-B2BC-551E96DD1EA2}" name="Achieved Conformance with Standard 8" dataDxfId="464"/>
    <tableColumn id="13" xr3:uid="{792CF2DD-E3E3-407A-ACF5-484F8184B9B0}" name="Achieved Conformance with Standard 9" dataDxfId="463"/>
    <tableColumn id="14" xr3:uid="{867C8776-341C-4BE1-B0A6-D3C32EC36603}" name="Jurisdiction Contact" dataDxfId="462"/>
    <tableColumn id="15" xr3:uid="{F96AB865-6401-42BA-96E2-41B4A8FF1A97}" name="FDA Contact" dataDxfId="461"/>
  </tableColumns>
  <tableStyleInfo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F4C96DFC-4799-40D4-889B-686D2957726A}" name="Table_New York" displayName="Table_New_York" ref="A3:O11" totalsRowShown="0" headerRowDxfId="440" dataDxfId="459" headerRowBorderDxfId="457" tableBorderDxfId="458" totalsRowBorderDxfId="456">
  <autoFilter ref="A3:O11" xr:uid="{4E120FC6-4766-4698-B7C8-77BE3008E9D7}"/>
  <tableColumns count="15">
    <tableColumn id="1" xr3:uid="{BEC8E661-F8F1-4118-8940-873B369100F1}" name="Enrolled Jurisdiction Name" dataDxfId="455"/>
    <tableColumn id="2" xr3:uid="{5FEB90D1-C478-442B-BC75-0FDC3481EFB8}" name="Enrollment Date" dataDxfId="454"/>
    <tableColumn id="3" xr3:uid="{46C06890-4F74-411A-A3C9-F10917A971C4}" name="Self-Assessment Period" dataDxfId="453"/>
    <tableColumn id="4" xr3:uid="{194AECB8-3327-4F4C-8D82-0CC26F80A90F}" name="Self-Assessment Completed" dataDxfId="452"/>
    <tableColumn id="5" xr3:uid="{A9110F1E-0D49-46A2-9788-0EAA5579BED0}" name="Achieved Conformance with Standard 1" dataDxfId="451"/>
    <tableColumn id="6" xr3:uid="{977E2B76-FE36-4374-BCF8-9E4A65713CD8}" name="Achieved Conformance with Standard 2" dataDxfId="450"/>
    <tableColumn id="7" xr3:uid="{040344C8-FB27-4956-937B-81AEFAB995FD}" name="Achieved Conformance with Standard 3" dataDxfId="449"/>
    <tableColumn id="8" xr3:uid="{4E04FFE0-C762-4E20-8C3D-C7352B48B9B0}" name="Achieved Conformance with Standard 4" dataDxfId="448"/>
    <tableColumn id="9" xr3:uid="{7971DE79-852C-4C60-A98C-06124156F792}" name="Achieved Conformance with Standard 5" dataDxfId="447"/>
    <tableColumn id="10" xr3:uid="{86982694-AA8A-4273-9B0A-E7E853F94E0B}" name="Achieved Conformance with Standard 6" dataDxfId="446"/>
    <tableColumn id="11" xr3:uid="{655A3472-341C-4B3E-88B9-9DA390441C1C}" name="Achieved Conformance with Standard 7" dataDxfId="445"/>
    <tableColumn id="12" xr3:uid="{D81CAAE9-4757-4A69-B753-A7CEE6035FE0}" name="Achieved Conformance with Standard 8" dataDxfId="444"/>
    <tableColumn id="13" xr3:uid="{6EE42477-2033-4421-888D-19F955A3EDB7}" name="Achieved Conformance with Standard 9" dataDxfId="443"/>
    <tableColumn id="14" xr3:uid="{9F5F02F9-27D7-4193-9BA0-537DB9688DBA}" name="Jurisdiction Contact" dataDxfId="442"/>
    <tableColumn id="15" xr3:uid="{0F0F2357-B6A0-471E-8834-DA3484E64ECC}" name="FDA Contact" dataDxfId="441"/>
  </tableColumns>
  <tableStyleInfo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3929AC2A-A0C5-4C91-8341-5316B951C1C6}" name="Table_North Carolina" displayName="Table_North_Carolina" ref="A3:O59" totalsRowShown="0" headerRowDxfId="420" dataDxfId="439" headerRowBorderDxfId="437" tableBorderDxfId="438" totalsRowBorderDxfId="436">
  <autoFilter ref="A3:O59" xr:uid="{9DE08559-CD3E-429B-9F6C-BCDC423D57D7}"/>
  <tableColumns count="15">
    <tableColumn id="1" xr3:uid="{026ECF63-01EA-49A5-8BFD-2E7F1089A638}" name="Enrolled Jurisdiction Name" dataDxfId="435"/>
    <tableColumn id="2" xr3:uid="{479A882A-06AC-49FE-BE12-818207710421}" name="Enrollment Date" dataDxfId="434"/>
    <tableColumn id="3" xr3:uid="{8184FD82-89D1-4729-8438-73819DD7B091}" name="Self-Assessment Period" dataDxfId="433"/>
    <tableColumn id="4" xr3:uid="{394DD298-902B-4FA7-ACAA-1E032CC31E3B}" name="Self-Assessment Completed" dataDxfId="432"/>
    <tableColumn id="5" xr3:uid="{49547196-8A06-47BE-BCE7-C2883462CC57}" name="Achieved Conformance with Standard 1" dataDxfId="431"/>
    <tableColumn id="6" xr3:uid="{D86F7B59-69A5-40CA-91DF-3658165073F7}" name="Achieved Conformance with Standard 2" dataDxfId="430"/>
    <tableColumn id="7" xr3:uid="{69B887C0-B6C6-42CD-881D-AD1879C06D1A}" name="Achieved Conformance with Standard 3" dataDxfId="429"/>
    <tableColumn id="8" xr3:uid="{BEE39FB4-1DBD-4EE5-82DF-A7C8C59D04F1}" name="Achieved Conformance with Standard 4" dataDxfId="428"/>
    <tableColumn id="9" xr3:uid="{A109CD5B-D99C-46D7-B4A9-C62DF5FCC214}" name="Achieved Conformance with Standard 5" dataDxfId="427"/>
    <tableColumn id="10" xr3:uid="{69354117-8A16-4C52-93AE-AE418E2352C1}" name="Achieved Conformance with Standard 6" dataDxfId="426"/>
    <tableColumn id="11" xr3:uid="{FFB43F97-01D4-4336-9A0A-190D9943A2B9}" name="Achieved Conformance with Standard 7" dataDxfId="425"/>
    <tableColumn id="12" xr3:uid="{87FEC847-7CC7-4702-8128-7EF79E64FFEE}" name="Achieved Conformance with Standard 8" dataDxfId="424"/>
    <tableColumn id="13" xr3:uid="{0D39F3BB-8C6D-4D43-B59C-10C39A47B586}" name="Achieved Conformance with Standard 9" dataDxfId="423"/>
    <tableColumn id="14" xr3:uid="{820CEE40-AA1F-4E69-BCBB-E649EB849622}" name="Jurisdiction Contact" dataDxfId="422"/>
    <tableColumn id="15" xr3:uid="{77570244-55AA-484A-B55B-E63E17AEA58C}" name="FDA Contact" dataDxfId="421"/>
  </tableColumns>
  <tableStyleInfo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4DDBFFED-D273-495D-9019-99FB5EBBC086}" name="Table_North Dakota" displayName="Table_North_Dakota" ref="A3:O12" totalsRowShown="0" headerRowDxfId="400" dataDxfId="419" headerRowBorderDxfId="417" tableBorderDxfId="418" totalsRowBorderDxfId="416">
  <autoFilter ref="A3:O12" xr:uid="{67891392-144C-4110-84A6-344D6B028028}"/>
  <tableColumns count="15">
    <tableColumn id="1" xr3:uid="{A13D3A57-BE13-4E32-A205-EEF730C002C2}" name="Enrolled Jurisdiction Name" dataDxfId="415"/>
    <tableColumn id="2" xr3:uid="{737815C3-24A8-4BC7-A0BB-86DB236111AC}" name="Enrollment Date" dataDxfId="414"/>
    <tableColumn id="3" xr3:uid="{06B8C38B-BDA8-4160-AF29-53D0969C9737}" name="Self-Assessment Period" dataDxfId="413"/>
    <tableColumn id="4" xr3:uid="{6C4D71A9-822C-4551-AE3F-7705D233174C}" name="Self-Assessment Completed" dataDxfId="412"/>
    <tableColumn id="5" xr3:uid="{61C0970A-214F-4DA3-8C93-35CAB2DB488A}" name="Achieved Conformance with Standard 1" dataDxfId="411"/>
    <tableColumn id="6" xr3:uid="{2B6D2268-6DE0-454E-BD2D-07D7C23A96E0}" name="Achieved Conformance with Standard 2" dataDxfId="410"/>
    <tableColumn id="7" xr3:uid="{85E90115-7BE1-4C12-AA29-C6127B0B9D38}" name="Achieved Conformance with Standard 3" dataDxfId="409"/>
    <tableColumn id="8" xr3:uid="{4526242E-AA7E-4ECE-8760-9E901A8FA399}" name="Achieved Conformance with Standard 4" dataDxfId="408"/>
    <tableColumn id="9" xr3:uid="{17EB512B-504B-4892-9343-19A42A658782}" name="Achieved Conformance with Standard 5" dataDxfId="407"/>
    <tableColumn id="10" xr3:uid="{7D1DD046-C37A-4D3E-8DD8-9CC7C3BCFE4D}" name="Achieved Conformance with Standard 6" dataDxfId="406"/>
    <tableColumn id="11" xr3:uid="{A7554366-B867-47F5-B4A1-7B9F56D4E93D}" name="Achieved Conformance with Standard 7" dataDxfId="405"/>
    <tableColumn id="12" xr3:uid="{292DBD14-8557-418F-9C33-A0D2F36D0C65}" name="Achieved Conformance with Standard 8" dataDxfId="404"/>
    <tableColumn id="13" xr3:uid="{3267FFC8-7900-4BDF-BB20-2EA45C87DF45}" name="Achieved Conformance with Standard 9" dataDxfId="403"/>
    <tableColumn id="14" xr3:uid="{31495C8F-0FA9-4942-A499-4DE5DE278FAD}" name="Jurisdiction Contact" dataDxfId="402"/>
    <tableColumn id="15" xr3:uid="{F438B449-977E-4A60-8553-4233C8EBC752}" name="FDA Contact" dataDxfId="401"/>
  </tableColumns>
  <tableStyleInfo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80A225E5-3987-4B21-A637-D09DAE337E32}" name="Table_Northern Mariana Islands" displayName="Table_Northern_Mariana_Islands" ref="A3:O5" totalsRowShown="0" headerRowDxfId="380" dataDxfId="399" headerRowBorderDxfId="397" tableBorderDxfId="398" totalsRowBorderDxfId="396">
  <autoFilter ref="A3:O5" xr:uid="{6E562F27-4537-4841-928A-A20BA97A6E77}"/>
  <tableColumns count="15">
    <tableColumn id="1" xr3:uid="{B5F7B1E2-9471-435E-9860-F4D98EBA6459}" name="Enrolled Jurisdiction Name" dataDxfId="395"/>
    <tableColumn id="2" xr3:uid="{2F03EFCD-33EA-46D5-8F56-FEA6AAB42F83}" name="Enrollment Date" dataDxfId="394"/>
    <tableColumn id="3" xr3:uid="{A63D584E-41CD-41E5-A942-1CB2C02264B0}" name="Self-Assessment Period" dataDxfId="393"/>
    <tableColumn id="4" xr3:uid="{FA0067E7-5D38-463D-B354-AF87D4F8FACE}" name="Self-Assessment Completed" dataDxfId="392"/>
    <tableColumn id="5" xr3:uid="{50B71F5C-9E88-4BDA-B45E-11146C16ED3C}" name="Achieved Conformance with Standard 1" dataDxfId="391"/>
    <tableColumn id="6" xr3:uid="{925671B4-93A3-4713-8786-349F271CDA4F}" name="Achieved Conformance with Standard 2" dataDxfId="390"/>
    <tableColumn id="7" xr3:uid="{DD510B5B-7610-41F4-A9C3-DE460A55324C}" name="Achieved Conformance with Standard 3" dataDxfId="389"/>
    <tableColumn id="8" xr3:uid="{A30D9583-6FF9-448B-BA7C-A1018A307DBE}" name="Achieved Conformance with Standard 4" dataDxfId="388"/>
    <tableColumn id="9" xr3:uid="{AAA62350-73B9-4E51-9396-52DD983D378C}" name="Achieved Conformance with Standard 5" dataDxfId="387"/>
    <tableColumn id="10" xr3:uid="{2A86B5B0-613E-4D52-8494-CC7674A33EAE}" name="Achieved Conformance with Standard 6" dataDxfId="386"/>
    <tableColumn id="11" xr3:uid="{4FC5E099-4441-4277-BFCC-845438C75A33}" name="Achieved Conformance with Standard 7" dataDxfId="385"/>
    <tableColumn id="12" xr3:uid="{863F1FFD-B908-49E3-9A9D-C5FDCFC53AB0}" name="Achieved Conformance with Standard 8" dataDxfId="384"/>
    <tableColumn id="13" xr3:uid="{9E7E40B2-F962-41E0-ACCF-29CFCAE26F96}" name="Achieved Conformance with Standard 9" dataDxfId="383"/>
    <tableColumn id="14" xr3:uid="{38DE8ACA-B646-47D7-AC10-81A8FE5CE748}" name="Jurisdiction Contact" dataDxfId="382"/>
    <tableColumn id="15" xr3:uid="{2AB03031-08F9-4954-BE1A-660BAB920CB1}" name="FDA Contact" dataDxfId="381"/>
  </tableColumns>
  <tableStyleInfo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1822DF85-F898-41CB-8C1A-D6B3A7438929}" name="Table_Ohio" displayName="Table_Ohio" ref="A3:O24" totalsRowShown="0" headerRowDxfId="360" dataDxfId="379" headerRowBorderDxfId="377" tableBorderDxfId="378" totalsRowBorderDxfId="376">
  <autoFilter ref="A3:O24" xr:uid="{726F93C9-D0D5-4025-9845-C995BBE0AF53}"/>
  <tableColumns count="15">
    <tableColumn id="1" xr3:uid="{379E6304-E172-4804-8125-8767F9C0C79C}" name="Enrolled Jurisdiction Name" dataDxfId="375"/>
    <tableColumn id="2" xr3:uid="{316D379E-CD24-444A-ABCC-4189DF33DCF5}" name="Enrollment Date" dataDxfId="374"/>
    <tableColumn id="3" xr3:uid="{641384DD-D2D4-4CBD-B78E-75F104F0E994}" name="Self-Assessment Period" dataDxfId="373"/>
    <tableColumn id="4" xr3:uid="{31A2D4D9-6CB4-479C-909C-C39395576CFE}" name="Self-Assessment Completed" dataDxfId="372"/>
    <tableColumn id="5" xr3:uid="{B6744B0D-B4C3-435E-A82A-E558EAB3FD8F}" name="Achieved Conformance with Standard 1" dataDxfId="371"/>
    <tableColumn id="6" xr3:uid="{D2D94B71-DD7C-4489-8E2A-78A3DDBD0E8E}" name="Achieved Conformance with Standard 2" dataDxfId="370"/>
    <tableColumn id="7" xr3:uid="{6B0DF4A8-D711-4655-BE70-DC8B415CA55C}" name="Achieved Conformance with Standard 3" dataDxfId="369"/>
    <tableColumn id="8" xr3:uid="{EBB91994-1265-4242-813B-E621C41D82DD}" name="Achieved Conformance with Standard 4" dataDxfId="368"/>
    <tableColumn id="9" xr3:uid="{801AF562-1CCF-4F1E-8C4D-A93511EE1D73}" name="Achieved Conformance with Standard 5" dataDxfId="367"/>
    <tableColumn id="10" xr3:uid="{695E2E05-74C0-42C4-BC88-58070D765911}" name="Achieved Conformance with Standard 6" dataDxfId="366"/>
    <tableColumn id="11" xr3:uid="{0C8C6037-D4CA-4ADE-88D5-6268A101D073}" name="Achieved Conformance with Standard 7" dataDxfId="365"/>
    <tableColumn id="12" xr3:uid="{73A48471-6167-49EA-802C-8D6981609B8E}" name="Achieved Conformance with Standard 8" dataDxfId="364"/>
    <tableColumn id="13" xr3:uid="{83F23F8D-1E35-44C6-AF9C-5A118FCFB09D}" name="Achieved Conformance with Standard 9" dataDxfId="363"/>
    <tableColumn id="14" xr3:uid="{D88999B7-C1EA-4B4B-B293-DD2A39FC4BFD}" name="Jurisdiction Contact" dataDxfId="362"/>
    <tableColumn id="15" xr3:uid="{9730F81C-5F33-405B-B485-9974D2A41B28}" name="FDA Contact" dataDxfId="361"/>
  </tableColumns>
  <tableStyleInfo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278392B-14B7-4D39-A6F3-884AA3FD90C8}" name="Table_Oklahoma" displayName="Table_Oklahoma" ref="A3:O9" totalsRowShown="0" headerRowDxfId="340" dataDxfId="359" headerRowBorderDxfId="357" tableBorderDxfId="358" totalsRowBorderDxfId="356">
  <autoFilter ref="A3:O9" xr:uid="{4F2E67F4-8BFB-493D-A1DE-ABA71414CD3D}"/>
  <tableColumns count="15">
    <tableColumn id="1" xr3:uid="{E9EEAEFA-425E-4A1F-B04B-F553183D860D}" name="Enrolled Jurisdiction Name" dataDxfId="355"/>
    <tableColumn id="2" xr3:uid="{89A53E34-ECC8-48C4-AFBA-796BCF26980E}" name="Enrollment Date" dataDxfId="354"/>
    <tableColumn id="3" xr3:uid="{F64CB303-D172-4746-A4C4-235E7FB9C451}" name="Self-Assessment Period" dataDxfId="353"/>
    <tableColumn id="4" xr3:uid="{D6C88190-2B51-49E7-B06E-236BFFB1006B}" name="Self-Assessment Completed" dataDxfId="352"/>
    <tableColumn id="5" xr3:uid="{7FB9C2E2-50E0-47B8-B9F2-FBA764FE0FE9}" name="Achieved Conformance with Standard 1" dataDxfId="351"/>
    <tableColumn id="6" xr3:uid="{D8B82329-318C-4ED0-9284-FE457AAA9CE0}" name="Achieved Conformance with Standard 2" dataDxfId="350"/>
    <tableColumn id="7" xr3:uid="{690CF64F-E287-4276-91EF-3B35C73E726C}" name="Achieved Conformance with Standard 3" dataDxfId="349"/>
    <tableColumn id="8" xr3:uid="{EC51F7A4-56EC-4EB8-91BB-B42D91434A11}" name="Achieved Conformance with Standard 4" dataDxfId="348"/>
    <tableColumn id="9" xr3:uid="{F81B7E85-46EB-4486-BB06-0CCB14835F91}" name="Achieved Conformance with Standard 5" dataDxfId="347"/>
    <tableColumn id="10" xr3:uid="{C6440E83-7A56-4936-9D19-C5248C619D64}" name="Achieved Conformance with Standard 6" dataDxfId="346"/>
    <tableColumn id="11" xr3:uid="{AB71DB6D-BFB5-4DA6-B884-A3E26EAF3BDD}" name="Achieved Conformance with Standard 7" dataDxfId="345"/>
    <tableColumn id="12" xr3:uid="{1D14C739-E9BF-49D9-A40E-116D3B533F3C}" name="Achieved Conformance with Standard 8" dataDxfId="344"/>
    <tableColumn id="13" xr3:uid="{3BD004DC-8718-4F1E-A48D-963CBAC59109}" name="Achieved Conformance with Standard 9" dataDxfId="343"/>
    <tableColumn id="14" xr3:uid="{2D73851A-34FA-4BE9-80F1-E78CCAA5BB9E}" name="Jurisdiction Contact" dataDxfId="342"/>
    <tableColumn id="15" xr3:uid="{2FD7A5C4-3A20-4323-891C-36B3B407E426}" name="FDA Contact" dataDxfId="341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131D22F-CF2C-4D80-8F48-14AEAC9E34A9}" name="Table_Arizona" displayName="Table_Arizona" ref="A3:O36" totalsRowShown="0" headerRowDxfId="1040" dataDxfId="1059" headerRowBorderDxfId="1057" tableBorderDxfId="1058" totalsRowBorderDxfId="1056">
  <autoFilter ref="A3:O36" xr:uid="{F08AFC19-E426-44BD-9C8B-3A99CCF6C497}"/>
  <tableColumns count="15">
    <tableColumn id="1" xr3:uid="{8E170A04-DD18-4321-A01E-59D430330F0C}" name="Enrolled Jurisdiction Name" dataDxfId="1055"/>
    <tableColumn id="2" xr3:uid="{BE73E12B-C705-464C-89EA-8FCC7B8F969E}" name="Enrollment Date" dataDxfId="1054"/>
    <tableColumn id="3" xr3:uid="{98ACD249-619C-4207-8C98-B98F6912DA10}" name="Self-Assessment Period" dataDxfId="1053"/>
    <tableColumn id="4" xr3:uid="{D68404E9-77DC-4E63-B75F-4FE67DA9047F}" name="Self-Assessment Completed" dataDxfId="1052"/>
    <tableColumn id="5" xr3:uid="{CF338BC3-0B95-4887-82E5-0AF0D9B95C29}" name="Achieved Conformance with Standard 1" dataDxfId="1051"/>
    <tableColumn id="6" xr3:uid="{DBB5EC7E-4A0E-44D9-BFB1-5D01F6C2E216}" name="Achieved Conformance with Standard 2" dataDxfId="1050"/>
    <tableColumn id="7" xr3:uid="{DF62B29C-A11C-43A6-8C34-F76910A25A3A}" name="Achieved Conformance with Standard 3" dataDxfId="1049"/>
    <tableColumn id="8" xr3:uid="{79CFEBC3-1D66-487C-AD4B-829267C95CCB}" name="Achieved Conformance with Standard 4" dataDxfId="1048"/>
    <tableColumn id="9" xr3:uid="{43018802-5B13-4235-9404-83AB22CCBD86}" name="Achieved Conformance with Standard 5" dataDxfId="1047"/>
    <tableColumn id="10" xr3:uid="{1D9E8DF0-76A1-4D38-93B2-343E0230A6E7}" name="Achieved Conformance with Standard 6" dataDxfId="1046"/>
    <tableColumn id="11" xr3:uid="{BF62491A-1D19-4318-B5BA-53863BEA099C}" name="Achieved Conformance with Standard 7" dataDxfId="1045"/>
    <tableColumn id="12" xr3:uid="{40AE6654-DAA3-4BE8-A98C-83A6FB35D07A}" name="Achieved Conformance with Standard 8" dataDxfId="1044"/>
    <tableColumn id="13" xr3:uid="{32BEE33E-C74B-45A5-AD47-10BB034E039F}" name="Achieved Conformance with Standard 9" dataDxfId="1043"/>
    <tableColumn id="14" xr3:uid="{65C4EB7F-7791-4C5A-8B98-F5790AE72BFB}" name="Jurisdiction Contact" dataDxfId="1042"/>
    <tableColumn id="15" xr3:uid="{14803B9F-EFFC-4242-992B-96CD5455D051}" name="FDA Contact" dataDxfId="1041"/>
  </tableColumns>
  <tableStyleInfo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13C10C73-85E2-47EE-8141-E43DD9290270}" name="Table_Oregon" displayName="Table_Oregon" ref="A3:O17" totalsRowShown="0" headerRowDxfId="320" dataDxfId="339" headerRowBorderDxfId="337" tableBorderDxfId="338" totalsRowBorderDxfId="336">
  <autoFilter ref="A3:O17" xr:uid="{D2B6AF66-FD58-4375-A33C-E6001EB25E0C}"/>
  <tableColumns count="15">
    <tableColumn id="1" xr3:uid="{71231D67-ADFA-4D14-898C-AD2EEFA244F0}" name="Enrolled Jurisdiction Name" dataDxfId="335"/>
    <tableColumn id="2" xr3:uid="{095B6414-9958-447B-AB25-271074DEA613}" name="Enrollment Date" dataDxfId="334"/>
    <tableColumn id="3" xr3:uid="{7C04ABA7-013E-4BFC-AE09-446C197CC36F}" name="Self-Assessment Period" dataDxfId="333"/>
    <tableColumn id="4" xr3:uid="{DF69CCAF-4850-42B3-8C28-759F34801AB4}" name="Self-Assessment Completed" dataDxfId="332"/>
    <tableColumn id="5" xr3:uid="{9495E916-3DBC-401A-A3A6-408841B1E928}" name="Achieved Conformance with Standard 1" dataDxfId="331"/>
    <tableColumn id="6" xr3:uid="{F93A4150-62E8-47BF-9C1F-FA8FCCB76263}" name="Achieved Conformance with Standard 2" dataDxfId="330"/>
    <tableColumn id="7" xr3:uid="{E73C752B-6CCC-4F4D-BF58-F82C94D7D5DF}" name="Achieved Conformance with Standard 3" dataDxfId="329"/>
    <tableColumn id="8" xr3:uid="{692BB9B5-0741-4294-A6EA-C181CA736466}" name="Achieved Conformance with Standard 4" dataDxfId="328"/>
    <tableColumn id="9" xr3:uid="{A2242EDD-65B2-403F-A60F-D9411773A89D}" name="Achieved Conformance with Standard 5" dataDxfId="327"/>
    <tableColumn id="10" xr3:uid="{C5730D5D-4377-49DF-99C7-2759DA638E6A}" name="Achieved Conformance with Standard 6" dataDxfId="326"/>
    <tableColumn id="11" xr3:uid="{F31F03F3-B806-4D86-AEC5-FF609091777A}" name="Achieved Conformance with Standard 7" dataDxfId="325"/>
    <tableColumn id="12" xr3:uid="{1F1FF89A-4217-45DF-A13B-00767BB6F8FF}" name="Achieved Conformance with Standard 8" dataDxfId="324"/>
    <tableColumn id="13" xr3:uid="{4C2C3E08-6B5C-49FB-83DB-1F413B35BF7E}" name="Achieved Conformance with Standard 9" dataDxfId="323"/>
    <tableColumn id="14" xr3:uid="{E79534FB-C74C-4953-812D-7BD2B5E90ADF}" name="Jurisdiction Contact" dataDxfId="322"/>
    <tableColumn id="15" xr3:uid="{AC564291-BEB0-48AE-A6AD-03AE1D68233E}" name="FDA Contact" dataDxfId="321"/>
  </tableColumns>
  <tableStyleInfo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41D5EA5F-EC1C-4E06-B15D-BA8F297FAEF4}" name="Table_Pennsylvania" displayName="Table_Pennsylvania" ref="A3:O10" totalsRowShown="0" headerRowDxfId="300" dataDxfId="319" headerRowBorderDxfId="317" tableBorderDxfId="318" totalsRowBorderDxfId="316">
  <autoFilter ref="A3:O10" xr:uid="{7BF9A20F-0D6F-45A9-9BC6-D3DD5B4E677E}"/>
  <tableColumns count="15">
    <tableColumn id="1" xr3:uid="{E4986A2F-729F-436C-B97C-F878A0E0EC8C}" name="Enrolled Jurisdiction Name" dataDxfId="315"/>
    <tableColumn id="2" xr3:uid="{EB3E21A7-3A9B-4AD3-BED2-236778177AB3}" name="Enrollment Date" dataDxfId="314"/>
    <tableColumn id="3" xr3:uid="{5CB22666-E547-4F59-959E-DF7F5DC04ACC}" name="Self-Assessment Period" dataDxfId="313"/>
    <tableColumn id="4" xr3:uid="{B37E3680-B31D-4CDC-AE67-1075BFDEA5B9}" name="Self-Assessment Completed" dataDxfId="312"/>
    <tableColumn id="5" xr3:uid="{6E357973-D194-41B5-9033-4EAFD4A856E3}" name="Achieved Conformance with Standard 1" dataDxfId="311"/>
    <tableColumn id="6" xr3:uid="{7AEDB71A-0346-40B4-B604-29834B6D7241}" name="Achieved Conformance with Standard 2" dataDxfId="310"/>
    <tableColumn id="7" xr3:uid="{01946194-0DA1-4DFE-BC7B-DBAA1A275B88}" name="Achieved Conformance with Standard 3" dataDxfId="309"/>
    <tableColumn id="8" xr3:uid="{D2FFE8BF-CAF1-4E57-B3DA-3D985143ACBD}" name="Achieved Conformance with Standard 4" dataDxfId="308"/>
    <tableColumn id="9" xr3:uid="{CAE7F9CB-DE57-4A3D-A1E1-7730E51BC9D4}" name="Achieved Conformance with Standard 5" dataDxfId="307"/>
    <tableColumn id="10" xr3:uid="{AD84B9F5-D03F-479C-B84B-4613490176A9}" name="Achieved Conformance with Standard 6" dataDxfId="306"/>
    <tableColumn id="11" xr3:uid="{E12BC816-3C7D-4E06-80DB-1B72D31B8EDB}" name="Achieved Conformance with Standard 7" dataDxfId="305"/>
    <tableColumn id="12" xr3:uid="{07DED861-8116-4183-888C-7C39AD1F6DA3}" name="Achieved Conformance with Standard 8" dataDxfId="304"/>
    <tableColumn id="13" xr3:uid="{6BA7BE75-037C-4FC0-B059-5B1C45A55DD4}" name="Achieved Conformance with Standard 9" dataDxfId="303"/>
    <tableColumn id="14" xr3:uid="{B9C6BC50-7158-475A-B083-CE0C4ED484D1}" name="Jurisdiction Contact" dataDxfId="302"/>
    <tableColumn id="15" xr3:uid="{314ED12F-AFDF-4D88-99CC-1FBD07A1E585}" name="FDA Contact" dataDxfId="301"/>
  </tableColumns>
  <tableStyleInfo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A5A30AA8-3C58-4B0D-9C89-C2DBD8BD7361}" name="Table_Puerto Rico" displayName="Table_Puerto_Rico" ref="A3:O5" totalsRowShown="0" headerRowDxfId="280" dataDxfId="299" headerRowBorderDxfId="297" tableBorderDxfId="298" totalsRowBorderDxfId="296">
  <autoFilter ref="A3:O5" xr:uid="{D7F7B6B5-F2C5-41B0-A0E0-57A803880A7B}"/>
  <tableColumns count="15">
    <tableColumn id="1" xr3:uid="{E70EE610-BE20-4F81-ACB9-535354B6335A}" name="Enrolled Jurisdiction Name" dataDxfId="295"/>
    <tableColumn id="2" xr3:uid="{8929AFB9-E7AA-418E-AD9F-DFADA5EC6E49}" name="Enrollment Date" dataDxfId="294"/>
    <tableColumn id="3" xr3:uid="{A654D731-C028-4CDA-B94F-67AEDEC864B9}" name="Self-Assessment Period" dataDxfId="293"/>
    <tableColumn id="4" xr3:uid="{C1802590-EC24-4E78-A239-77086A44FA1C}" name="Self-Assessment Completed" dataDxfId="292"/>
    <tableColumn id="5" xr3:uid="{8113B373-C655-4316-BFFD-1C6CB86A388A}" name="Achieved Conformance with Standard 1" dataDxfId="291"/>
    <tableColumn id="6" xr3:uid="{89FDCE97-F1D0-4601-913B-43D1E5ECA481}" name="Achieved Conformance with Standard 2" dataDxfId="290"/>
    <tableColumn id="7" xr3:uid="{B7DEA3A6-DFE0-4568-909E-DF970F04BCC9}" name="Achieved Conformance with Standard 3" dataDxfId="289"/>
    <tableColumn id="8" xr3:uid="{C423003F-4905-4B9D-AB55-71484FA73B16}" name="Achieved Conformance with Standard 4" dataDxfId="288"/>
    <tableColumn id="9" xr3:uid="{BD1CFFF5-31B5-40D7-96F9-53C82267C401}" name="Achieved Conformance with Standard 5" dataDxfId="287"/>
    <tableColumn id="10" xr3:uid="{FCC4892E-43A9-4BE2-BDEE-703A3DCC71DF}" name="Achieved Conformance with Standard 6" dataDxfId="286"/>
    <tableColumn id="11" xr3:uid="{B99155CB-F0D2-4BCC-95C7-42E6479CA461}" name="Achieved Conformance with Standard 7" dataDxfId="285"/>
    <tableColumn id="12" xr3:uid="{527417FB-7736-41F5-ADF6-26D48842383B}" name="Achieved Conformance with Standard 8" dataDxfId="284"/>
    <tableColumn id="13" xr3:uid="{EBBE29D5-AD41-403A-BA1D-046E507EE2ED}" name="Achieved Conformance with Standard 9" dataDxfId="283"/>
    <tableColumn id="14" xr3:uid="{BC69FF26-853C-4C91-907E-C24A688F34CF}" name="Jurisdiction Contact" dataDxfId="282"/>
    <tableColumn id="15" xr3:uid="{172307D5-1E7E-4C81-A416-9A5DDCEF3D51}" name="FDA Contact" dataDxfId="281"/>
  </tableColumns>
  <tableStyleInfo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82F42470-F21F-4D98-AE11-496B71EB71EE}" name="Table_Rhode Island" displayName="Table_Rhode_Island" ref="A3:O6" totalsRowShown="0" headerRowDxfId="260" dataDxfId="279" headerRowBorderDxfId="277" tableBorderDxfId="278" totalsRowBorderDxfId="276">
  <autoFilter ref="A3:O6" xr:uid="{9F9BCE64-FFA1-496D-9538-9EEEE78D9140}"/>
  <tableColumns count="15">
    <tableColumn id="1" xr3:uid="{34150D7E-0201-4E5A-BFBA-DD6A8297F73F}" name="Enrolled Jurisdiction Name" dataDxfId="275"/>
    <tableColumn id="2" xr3:uid="{A57BC6B8-0ABC-4AE5-AF9A-1FE083728C3B}" name="Enrollment Date" dataDxfId="274"/>
    <tableColumn id="3" xr3:uid="{0120B54E-3CA9-4A70-A256-B2FD0442BCA0}" name="Self-Assessment Period" dataDxfId="273"/>
    <tableColumn id="4" xr3:uid="{474EA7B4-4F9D-48A2-840D-6D523085B7F1}" name="Self-Assessment Completed" dataDxfId="272"/>
    <tableColumn id="5" xr3:uid="{6984948B-4C13-4B01-98DA-90C1B9A0B839}" name="Achieved Conformance with Standard 1" dataDxfId="271"/>
    <tableColumn id="6" xr3:uid="{86B116C1-2CAD-40BB-A483-A3F64E213A37}" name="Achieved Conformance with Standard 2" dataDxfId="270"/>
    <tableColumn id="7" xr3:uid="{E10F3A65-B3DC-4E89-BF20-65CE94384025}" name="Achieved Conformance with Standard 3" dataDxfId="269"/>
    <tableColumn id="8" xr3:uid="{0213123B-326F-4787-A897-93F83E240C6F}" name="Achieved Conformance with Standard 4" dataDxfId="268"/>
    <tableColumn id="9" xr3:uid="{886477C7-7A5A-4EE5-AD83-F7188314FEA0}" name="Achieved Conformance with Standard 5" dataDxfId="267"/>
    <tableColumn id="10" xr3:uid="{66BCA163-9492-4E3A-9A7B-4976A471A339}" name="Achieved Conformance with Standard 6" dataDxfId="266"/>
    <tableColumn id="11" xr3:uid="{5A113D47-1D63-4A28-AA22-7F041BE899C8}" name="Achieved Conformance with Standard 7" dataDxfId="265"/>
    <tableColumn id="12" xr3:uid="{17978345-FF85-434D-82C0-92C0D0FC45BB}" name="Achieved Conformance with Standard 8" dataDxfId="264"/>
    <tableColumn id="13" xr3:uid="{19D9543F-0FC8-4AF9-BFB5-54F6B05644EF}" name="Achieved Conformance with Standard 9" dataDxfId="263"/>
    <tableColumn id="14" xr3:uid="{A8E39EEB-1C3E-4A92-937E-ABE2ED8FEE45}" name="Jurisdiction Contact" dataDxfId="262"/>
    <tableColumn id="15" xr3:uid="{69492244-E10A-4AF8-A39F-332A3451B8C7}" name="FDA Contact" dataDxfId="261"/>
  </tableColumns>
  <tableStyleInfo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D7BAEFB-FD1D-49CF-9287-BAB52C5F3B64}" name="Table_South Carolina" displayName="Table_South_Carolina" ref="A3:O5" totalsRowShown="0" headerRowDxfId="240" dataDxfId="259" headerRowBorderDxfId="257" tableBorderDxfId="258" totalsRowBorderDxfId="256">
  <autoFilter ref="A3:O5" xr:uid="{B755EE08-FBD4-44CB-99C5-C126AB5F5D26}"/>
  <tableColumns count="15">
    <tableColumn id="1" xr3:uid="{C231448A-D5FB-41F0-A25E-D221FE4AEE91}" name="Enrolled Jurisdiction Name" dataDxfId="255"/>
    <tableColumn id="2" xr3:uid="{4B500913-CA73-4A60-B0D5-28E3CEE72640}" name="Enrollment Date" dataDxfId="254"/>
    <tableColumn id="3" xr3:uid="{72761FAB-057C-4A44-ADF0-ED4ED05A46DA}" name="Self-Assessment Period" dataDxfId="253"/>
    <tableColumn id="4" xr3:uid="{0E4AF88D-74EA-48C2-840C-C4F91D508E94}" name="Self-Assessment Completed" dataDxfId="252"/>
    <tableColumn id="5" xr3:uid="{561BE0ED-A41C-4FD3-A866-CE073DC69096}" name="Achieved Conformance with Standard 1" dataDxfId="251"/>
    <tableColumn id="6" xr3:uid="{569D5C79-5D45-47AD-BA8F-4D34A677D334}" name="Achieved Conformance with Standard 2" dataDxfId="250"/>
    <tableColumn id="7" xr3:uid="{E220C1F9-DB97-43E2-BC12-7DA643E817E1}" name="Achieved Conformance with Standard 3" dataDxfId="249"/>
    <tableColumn id="8" xr3:uid="{092BCE4B-154A-42C2-9A6C-83BB81C23D8B}" name="Achieved Conformance with Standard 4" dataDxfId="248"/>
    <tableColumn id="9" xr3:uid="{41201288-CE42-40AF-BE42-246E704D67D1}" name="Achieved Conformance with Standard 5" dataDxfId="247"/>
    <tableColumn id="10" xr3:uid="{8497FAD0-BEEC-477D-9AB4-03B321CCC73F}" name="Achieved Conformance with Standard 6" dataDxfId="246"/>
    <tableColumn id="11" xr3:uid="{67D44367-BE0D-4F9C-B506-A1FB3175664D}" name="Achieved Conformance with Standard 7" dataDxfId="245"/>
    <tableColumn id="12" xr3:uid="{D044A88D-4C09-43CD-A9D5-CD8030BA94FA}" name="Achieved Conformance with Standard 8" dataDxfId="244"/>
    <tableColumn id="13" xr3:uid="{9704EE3F-8715-4BDF-BFD4-13C80BD510D8}" name="Achieved Conformance with Standard 9" dataDxfId="243"/>
    <tableColumn id="14" xr3:uid="{AE977DF6-F454-48B3-895D-A51720282C85}" name="Jurisdiction Contact" dataDxfId="242"/>
    <tableColumn id="15" xr3:uid="{0BCD0D2A-A0AE-4797-B694-FC1DDD14987F}" name="FDA Contact" dataDxfId="241"/>
  </tableColumns>
  <tableStyleInfo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8ED9C261-3EDF-4827-86A4-585F0159C008}" name="Table_South Dakota" displayName="Table_South_Dakota" ref="A3:O4" totalsRowShown="0" headerRowDxfId="236" dataDxfId="220" headerRowBorderDxfId="238" tableBorderDxfId="239" totalsRowBorderDxfId="237">
  <autoFilter ref="A3:O4" xr:uid="{13AB1D43-CA89-4AD6-947B-F61FFC365E00}"/>
  <tableColumns count="15">
    <tableColumn id="1" xr3:uid="{653799F3-056E-412C-A584-F4B075F35C24}" name="Enrolled Jurisdiction Name" dataDxfId="235"/>
    <tableColumn id="2" xr3:uid="{F1A479F0-5C16-492D-AB5F-67754EC216D6}" name="Enrollment Date" dataDxfId="234"/>
    <tableColumn id="3" xr3:uid="{5758118D-7588-426D-B9F3-DCABA3ED9CCF}" name="Self-Assessment Period" dataDxfId="233"/>
    <tableColumn id="4" xr3:uid="{0395B432-DA66-4EAE-97AD-94008F93563D}" name="Self-Assessment Completed" dataDxfId="232"/>
    <tableColumn id="5" xr3:uid="{7A9FECAF-1CD6-424F-B188-45C001342B3D}" name="Achieved Conformance with Standard 1" dataDxfId="231"/>
    <tableColumn id="6" xr3:uid="{784B5A88-39E6-43F2-B0E3-DCBACA54D027}" name="Achieved Conformance with Standard 2" dataDxfId="230"/>
    <tableColumn id="7" xr3:uid="{B1C6779B-BE68-4277-9422-59E1184724AD}" name="Achieved Conformance with Standard 3" dataDxfId="229"/>
    <tableColumn id="8" xr3:uid="{E124C197-515C-4649-AFDE-C0AE2DBD8167}" name="Achieved Conformance with Standard 4" dataDxfId="228"/>
    <tableColumn id="9" xr3:uid="{756BB40D-EAF7-47A4-AEBA-DB297F0BFCAA}" name="Achieved Conformance with Standard 5" dataDxfId="227"/>
    <tableColumn id="10" xr3:uid="{66095C55-2503-4727-AD5F-7F6F3B766061}" name="Achieved Conformance with Standard 6" dataDxfId="226"/>
    <tableColumn id="11" xr3:uid="{6F2F5F2A-0C84-41B0-96F5-3E2974B9E657}" name="Achieved Conformance with Standard 7" dataDxfId="225"/>
    <tableColumn id="12" xr3:uid="{4E6A17B9-0F13-4505-BFBE-E2FFABB6CA1C}" name="Achieved Conformance with Standard 8" dataDxfId="224"/>
    <tableColumn id="13" xr3:uid="{64DE2523-1016-434F-9004-51B2109B465E}" name="Achieved Conformance with Standard 9" dataDxfId="223"/>
    <tableColumn id="14" xr3:uid="{39530C65-D852-4002-90B1-5CB7F6E89CB9}" name="Jurisdiction Contact" dataDxfId="222"/>
    <tableColumn id="15" xr3:uid="{6DC94912-CE46-4E62-8C6D-B0B07893A4EB}" name="FDA Contact" dataDxfId="221">
      <calculatedColumnFormula>HYPERLINK("mailto:Greg.Abel@fda.hhs.gov","Greg Abel")</calculatedColumnFormula>
    </tableColumn>
  </tableColumns>
  <tableStyleInfo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B2737AEF-1A3D-4082-A083-18642400B262}" name="Table_Tennessee" displayName="Table_Tennessee" ref="A3:O16" totalsRowShown="0" headerRowDxfId="200" dataDxfId="219" headerRowBorderDxfId="217" tableBorderDxfId="218" totalsRowBorderDxfId="216">
  <autoFilter ref="A3:O16" xr:uid="{9696E7C6-C66A-40AD-9B37-1AC1EC40B2C0}"/>
  <tableColumns count="15">
    <tableColumn id="1" xr3:uid="{F2186C0F-A7CD-46D8-A328-4EAF2ED88018}" name="Enrolled Jurisdiction Name" dataDxfId="215"/>
    <tableColumn id="2" xr3:uid="{335A475C-4357-40A7-A45B-AB34907D6397}" name="Enrollment Date" dataDxfId="214"/>
    <tableColumn id="3" xr3:uid="{94FEA158-3F5C-4AF2-B59C-FA1521B732ED}" name="Self-Assessment Period" dataDxfId="213"/>
    <tableColumn id="4" xr3:uid="{1A07413F-5FF5-4F5E-9877-079B51AE31EA}" name="Self-Assessment Completed" dataDxfId="212"/>
    <tableColumn id="5" xr3:uid="{79CD055A-0D47-404D-9A8F-B8CCEF29B0C6}" name="Achieved Conformance with Standard 1" dataDxfId="211"/>
    <tableColumn id="6" xr3:uid="{CF8E8D02-BF9A-4311-8211-646015B7D14D}" name="Achieved Conformance with Standard 2" dataDxfId="210"/>
    <tableColumn id="7" xr3:uid="{26A00A7F-1300-4E02-85F1-527BEFA27300}" name="Achieved Conformance with Standard 3" dataDxfId="209"/>
    <tableColumn id="8" xr3:uid="{BDB194FA-80EA-4DE1-832A-958F6E19C4D4}" name="Achieved Conformance with Standard 4" dataDxfId="208"/>
    <tableColumn id="9" xr3:uid="{BD6016F6-D91D-4D3C-8493-AD7E2C6B143F}" name="Achieved Conformance with Standard 5" dataDxfId="207"/>
    <tableColumn id="10" xr3:uid="{1D02E7C9-EE4C-4A40-929A-A3C1D23C6D7E}" name="Achieved Conformance with Standard 6" dataDxfId="206"/>
    <tableColumn id="11" xr3:uid="{6B63984B-EB87-4240-9A19-6A289BDC3243}" name="Achieved Conformance with Standard 7" dataDxfId="205"/>
    <tableColumn id="12" xr3:uid="{DAA7555F-0EF3-42CB-B95B-31AD386AA7CA}" name="Achieved Conformance with Standard 8" dataDxfId="204"/>
    <tableColumn id="13" xr3:uid="{CB3D8D07-0362-49E5-B9C2-1D59ACC01F7C}" name="Achieved Conformance with Standard 9" dataDxfId="203"/>
    <tableColumn id="14" xr3:uid="{6DC6B8D7-7E0F-45FB-83F1-AAC2C457FD05}" name="Jurisdiction Contact" dataDxfId="202"/>
    <tableColumn id="15" xr3:uid="{29319FBD-E2AD-4E26-8FAC-4B4B6EBD5829}" name="FDA Contact" dataDxfId="201"/>
  </tableColumns>
  <tableStyleInfo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58CB4523-CA21-4074-86C8-5EB0ABD55C77}" name="Table_Texas" displayName="Table_Texas" ref="A3:O100" totalsRowShown="0" headerRowDxfId="180" dataDxfId="199" headerRowBorderDxfId="197" tableBorderDxfId="198" totalsRowBorderDxfId="196">
  <autoFilter ref="A3:O100" xr:uid="{0A82A5EC-273E-4A37-BF38-E8C222A598B5}"/>
  <tableColumns count="15">
    <tableColumn id="1" xr3:uid="{35912C7A-DF84-4E1C-87C7-F4C0C089B291}" name="Enrolled Jurisdiction Name" dataDxfId="195"/>
    <tableColumn id="2" xr3:uid="{9452BEBF-1C1A-4EE4-B8D8-BC1EBAF623FD}" name="Enrollment Date" dataDxfId="194"/>
    <tableColumn id="3" xr3:uid="{6FDC60E9-62D1-4B75-9B7D-7211363ED192}" name="Self-Assessment Period" dataDxfId="193"/>
    <tableColumn id="4" xr3:uid="{C9DB62EC-52ED-4F20-BD02-6E8812A54B25}" name="Self-Assessment Completed" dataDxfId="192"/>
    <tableColumn id="5" xr3:uid="{59583CDF-864D-4DDB-B5F8-1AB2DDA0B9E4}" name="Achieved Conformance with Standard 1" dataDxfId="191"/>
    <tableColumn id="6" xr3:uid="{D33C3F2C-8F69-4E5B-BE7C-A1BD6D28BC68}" name="Achieved Conformance with Standard 2" dataDxfId="190"/>
    <tableColumn id="7" xr3:uid="{1DA79FA2-E27B-46D8-B721-96DA1A2D1FE2}" name="Achieved Conformance with Standard 3" dataDxfId="189"/>
    <tableColumn id="8" xr3:uid="{9BD047C0-29A8-4AC3-84C1-6542CF9449EE}" name="Achieved Conformance with Standard 4" dataDxfId="188"/>
    <tableColumn id="9" xr3:uid="{3BE12796-5088-47DE-B9CB-D8AA56AF57F4}" name="Achieved Conformance with Standard 5" dataDxfId="187"/>
    <tableColumn id="10" xr3:uid="{4A0063DC-CBAA-481A-BD81-E1BFFFBD952B}" name="Achieved Conformance with Standard 6" dataDxfId="186"/>
    <tableColumn id="11" xr3:uid="{AE0A8C9E-CEE9-4F08-A0B3-05DD991F91C0}" name="Achieved Conformance with Standard 7" dataDxfId="185"/>
    <tableColumn id="12" xr3:uid="{00D378EA-54DC-479D-A178-6E5BB0C167C0}" name="Achieved Conformance with Standard 8" dataDxfId="184"/>
    <tableColumn id="13" xr3:uid="{B446952D-F2E6-4CF6-93B0-7D873D3A138A}" name="Achieved Conformance with Standard 9" dataDxfId="183"/>
    <tableColumn id="14" xr3:uid="{208682F9-7CEF-49CD-BED6-7760F361AF8D}" name="Jurisdiction Contact" dataDxfId="182"/>
    <tableColumn id="15" xr3:uid="{B3474733-A0E1-453C-B3A4-C3DE0DCFE89A}" name="FDA Contact" dataDxfId="181"/>
  </tableColumns>
  <tableStyleInfo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CB3E8EE5-551E-4BBB-B02D-A5C05DBEC26F}" name="Table_Utah" displayName="Table_Utah" ref="A3:O24" totalsRowShown="0" headerRowDxfId="160" dataDxfId="179" headerRowBorderDxfId="177" tableBorderDxfId="178" totalsRowBorderDxfId="176">
  <autoFilter ref="A3:O24" xr:uid="{FC1FC986-996C-4BAA-B636-767066007645}"/>
  <tableColumns count="15">
    <tableColumn id="1" xr3:uid="{0A11A8A0-123D-40C5-819F-DB87F9F35279}" name="Enrolled Jurisdiction Name" dataDxfId="175"/>
    <tableColumn id="2" xr3:uid="{B2021D81-66B7-4C00-84F8-7AC95E2EFE1A}" name="Enrollment Date" dataDxfId="174"/>
    <tableColumn id="3" xr3:uid="{E943D3B2-F470-4EAB-836B-A1D2B23FC746}" name="Self-Assessment Period" dataDxfId="173"/>
    <tableColumn id="4" xr3:uid="{011BB44F-5FF1-47BA-AD25-E9522B5DC28C}" name="Self-Assessment Completed" dataDxfId="172"/>
    <tableColumn id="5" xr3:uid="{2368A1B5-1CC4-4ECC-9041-5701BA62DA90}" name="Achieved Conformance with Standard 1" dataDxfId="171"/>
    <tableColumn id="6" xr3:uid="{3F9B844A-409E-42DF-B099-8BA5EFFE13E7}" name="Achieved Conformance with Standard 2" dataDxfId="170"/>
    <tableColumn id="7" xr3:uid="{1C22FC13-CBAE-4BA8-A948-555316E6A0DA}" name="Achieved Conformance with Standard 3" dataDxfId="169"/>
    <tableColumn id="8" xr3:uid="{37E06E1C-25E0-4577-9010-9FA48D1911B4}" name="Achieved Conformance with Standard 4" dataDxfId="168"/>
    <tableColumn id="9" xr3:uid="{F7D281B6-FC81-47AF-9BBE-823EC5524585}" name="Achieved Conformance with Standard 5" dataDxfId="167"/>
    <tableColumn id="10" xr3:uid="{E44515F5-40DD-41BE-AC77-CE977DAB4CD5}" name="Achieved Conformance with Standard 6" dataDxfId="166"/>
    <tableColumn id="11" xr3:uid="{8E9BF595-8B7B-4159-8B1A-D0976FBE5793}" name="Achieved Conformance with Standard 7" dataDxfId="165"/>
    <tableColumn id="12" xr3:uid="{32EBEDDD-5DFF-42E2-A639-28DD4C67DD0A}" name="Achieved Conformance with Standard 8" dataDxfId="164"/>
    <tableColumn id="13" xr3:uid="{7F3097A2-847A-4303-9A49-27755EA69FCF}" name="Achieved Conformance with Standard 9" dataDxfId="163"/>
    <tableColumn id="14" xr3:uid="{52DF0119-C671-442F-8144-F46B7E81E011}" name="Jurisdiction Contact" dataDxfId="162"/>
    <tableColumn id="15" xr3:uid="{73DC414B-2384-4625-A1E8-5C7675B2CEFC}" name="FDA Contact" dataDxfId="161"/>
  </tableColumns>
  <tableStyleInfo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BAE1F88F-64FC-4936-960D-6BC3BC39473B}" name="Table_Vermont" displayName="Table_Vermont" ref="A3:O4" totalsRowShown="0" headerRowDxfId="156" dataDxfId="140" headerRowBorderDxfId="158" tableBorderDxfId="159" totalsRowBorderDxfId="157">
  <autoFilter ref="A3:O4" xr:uid="{D44B9470-029E-4FD7-91C6-54A891E76A0F}"/>
  <tableColumns count="15">
    <tableColumn id="1" xr3:uid="{6FD3CC40-342C-43E0-88D5-88359E2E4DB3}" name="Enrolled Jurisdiction Name" dataDxfId="155">
      <calculatedColumnFormula>HYPERLINK("http://www.healthvermont.gov/enviro/food_lodge/index.aspx","Vermont Department of Health - Food and Lodging Program")</calculatedColumnFormula>
    </tableColumn>
    <tableColumn id="2" xr3:uid="{BE67532C-9943-4A1D-A85A-5F423923100F}" name="Enrollment Date" dataDxfId="154"/>
    <tableColumn id="3" xr3:uid="{280ADE48-3760-4B17-AE9D-CD791BF09F31}" name="Self-Assessment Period" dataDxfId="153"/>
    <tableColumn id="4" xr3:uid="{27C49D92-28F2-4892-BC39-6ACF7A6620E3}" name="Self-Assessment Completed" dataDxfId="152"/>
    <tableColumn id="5" xr3:uid="{4D45257A-AA03-4C46-9F89-2862ECD68471}" name="Achieved Conformance with Standard 1" dataDxfId="151"/>
    <tableColumn id="6" xr3:uid="{C00F0052-BCD1-463B-AD02-B57C2D8B4FAA}" name="Achieved Conformance with Standard 2" dataDxfId="150"/>
    <tableColumn id="7" xr3:uid="{32915411-CFE2-449B-9095-057BAF82DB9B}" name="Achieved Conformance with Standard 3" dataDxfId="149"/>
    <tableColumn id="8" xr3:uid="{C73CDB78-5346-4BF0-8CAA-66C2D33579D7}" name="Achieved Conformance with Standard 4" dataDxfId="148"/>
    <tableColumn id="9" xr3:uid="{CD022FE4-21A4-4D04-9992-487302A76182}" name="Achieved Conformance with Standard 5" dataDxfId="147"/>
    <tableColumn id="10" xr3:uid="{966CDFAF-600A-48D1-B24F-7201ECAFA379}" name="Achieved Conformance with Standard 6" dataDxfId="146"/>
    <tableColumn id="11" xr3:uid="{2CFBD9CA-0A82-48FF-8F8F-557B68B760C3}" name="Achieved Conformance with Standard 7" dataDxfId="145"/>
    <tableColumn id="12" xr3:uid="{2348FB22-4191-4E0A-9705-CB94BAC2B3CC}" name="Achieved Conformance with Standard 8" dataDxfId="144"/>
    <tableColumn id="13" xr3:uid="{3E133D00-9B79-4A4F-A1D9-6A131181D408}" name="Achieved Conformance with Standard 9" dataDxfId="143"/>
    <tableColumn id="14" xr3:uid="{F1E1FB22-5882-456A-93B2-00B6C1340FD5}" name="Jurisdiction Contact" dataDxfId="142">
      <calculatedColumnFormula>HYPERLINK("mailto:elisabeth.wirsing@vermont.gov","Elisabeth Wirsing")</calculatedColumnFormula>
    </tableColumn>
    <tableColumn id="15" xr3:uid="{EB714185-3CDE-418A-8CF0-A4BEB9DC5285}" name="FDA Contact" dataDxfId="141">
      <calculatedColumnFormula>HYPERLINK("mailto:Alfred.Pistorio@fda.hhs.gov","Alfred Pistorio")</calculatedColumnFormula>
    </tableColumn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BB1A44B-2284-4E84-B81A-8AC68E2BD69F}" name="Table_Arkansas" displayName="Table_Arkansas" ref="A3:O6" totalsRowShown="0" headerRowDxfId="1020" dataDxfId="1039" headerRowBorderDxfId="1037" tableBorderDxfId="1038" totalsRowBorderDxfId="1036">
  <autoFilter ref="A3:O6" xr:uid="{3CD01917-89BC-4420-8F61-9634790D7439}"/>
  <tableColumns count="15">
    <tableColumn id="1" xr3:uid="{062683F8-B1CF-4732-9073-B182B3D503AC}" name="Enrolled Jurisdiction Name" dataDxfId="1035"/>
    <tableColumn id="2" xr3:uid="{D01456E5-74A6-464C-B002-E79C7B7B25A4}" name="Enrollment Date" dataDxfId="1034"/>
    <tableColumn id="3" xr3:uid="{91B5E06E-B9D6-49E4-8268-5D7DAEBB0051}" name="Self-Assessment Period" dataDxfId="1033"/>
    <tableColumn id="4" xr3:uid="{31411A4B-DB34-4B18-8A4D-EC6A4214A051}" name="Self-Assessment Completed" dataDxfId="1032"/>
    <tableColumn id="5" xr3:uid="{3B330856-B07B-4ACB-9679-87E8A3308BEA}" name="Achieved Conformance with Standard 1" dataDxfId="1031"/>
    <tableColumn id="6" xr3:uid="{42FF1031-E542-46E4-82FE-A2861640263A}" name="Achieved Conformance with Standard 2" dataDxfId="1030"/>
    <tableColumn id="7" xr3:uid="{9BE223DE-3265-4256-B2F6-C0AA42DB75E8}" name="Achieved Conformance with Standard 3" dataDxfId="1029"/>
    <tableColumn id="8" xr3:uid="{D8BB1578-D5DA-4711-A238-FC7BE3D9D4FE}" name="Achieved Conformance with Standard 4" dataDxfId="1028"/>
    <tableColumn id="9" xr3:uid="{3D7C8C5E-ED61-4BCC-9CD0-FC4DC3FD4BCE}" name="Achieved Conformance with Standard 5" dataDxfId="1027"/>
    <tableColumn id="10" xr3:uid="{EFB7FDC1-731C-46F9-955C-22A745CB3EFD}" name="Achieved Conformance with Standard 6" dataDxfId="1026"/>
    <tableColumn id="11" xr3:uid="{1295850E-DCF8-4B55-A98F-682B6B88FBD9}" name="Achieved Conformance with Standard 7" dataDxfId="1025"/>
    <tableColumn id="12" xr3:uid="{EF6E8512-4866-4B69-86AC-CFD9E602BDCC}" name="Achieved Conformance with Standard 8" dataDxfId="1024"/>
    <tableColumn id="13" xr3:uid="{0C13D0BB-7B2E-4339-B9A5-880E18CB176E}" name="Achieved Conformance with Standard 9" dataDxfId="1023"/>
    <tableColumn id="14" xr3:uid="{7820E4BF-E7C3-4B94-8FE5-F2576C14544C}" name="Jurisdiction Contact" dataDxfId="1022"/>
    <tableColumn id="15" xr3:uid="{730C354B-7466-407B-99C8-FEBB1266710D}" name="FDA Contact" dataDxfId="1021"/>
  </tableColumns>
  <tableStyleInfo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BDC22341-9D27-464A-8877-F10419CA8341}" name="Table_Virgin Island" displayName="Table_Virgin_Island" ref="A3:O4" totalsRowShown="0" headerRowDxfId="136" dataDxfId="120" headerRowBorderDxfId="138" tableBorderDxfId="139" totalsRowBorderDxfId="137">
  <autoFilter ref="A3:O4" xr:uid="{F118111C-6AC0-4634-B298-9D03D3363407}"/>
  <tableColumns count="15">
    <tableColumn id="1" xr3:uid="{2E45ED20-9F7D-4D97-A56F-690E984F855D}" name="Enrolled Jurisdiction Name" dataDxfId="135"/>
    <tableColumn id="2" xr3:uid="{A8BCA313-2811-47C7-A51C-8FEF4BC59CBF}" name="Enrollment Date" dataDxfId="134"/>
    <tableColumn id="3" xr3:uid="{F75A3FA4-1332-4752-ADCB-01D292378E79}" name="Self-Assessment Period" dataDxfId="133"/>
    <tableColumn id="4" xr3:uid="{E4E4FD40-43BA-44E8-9C2B-C11A9EC41AEA}" name="Self-Assessment Completed" dataDxfId="132"/>
    <tableColumn id="5" xr3:uid="{70C4238B-C9DC-4C92-8467-E4958EF76004}" name="Achieved Conformance with Standard 1" dataDxfId="131"/>
    <tableColumn id="6" xr3:uid="{A2C21063-14D9-493E-B09F-79B58196F3DA}" name="Achieved Conformance with Standard 2" dataDxfId="130"/>
    <tableColumn id="7" xr3:uid="{8A453331-2B91-4323-A74A-02EF50F5C818}" name="Achieved Conformance with Standard 3" dataDxfId="129"/>
    <tableColumn id="8" xr3:uid="{DAA06402-DF3F-419C-BE0D-8DBBFD918007}" name="Achieved Conformance with Standard 4" dataDxfId="128"/>
    <tableColumn id="9" xr3:uid="{C09CD586-D9DB-4A8A-A929-CE35638ACCF8}" name="Achieved Conformance with Standard 5" dataDxfId="127"/>
    <tableColumn id="10" xr3:uid="{5215AE1D-8DAA-42EC-99DF-6EC112147E2A}" name="Achieved Conformance with Standard 6" dataDxfId="126"/>
    <tableColumn id="11" xr3:uid="{41B5A32C-77EE-4447-981D-904BE458F594}" name="Achieved Conformance with Standard 7" dataDxfId="125"/>
    <tableColumn id="12" xr3:uid="{8639CBF2-F91B-4F7E-BA1E-9FB5DF0126DA}" name="Achieved Conformance with Standard 8" dataDxfId="124"/>
    <tableColumn id="13" xr3:uid="{377732C9-93B9-410E-AB8C-94FDB30C7C64}" name="Achieved Conformance with Standard 9" dataDxfId="123"/>
    <tableColumn id="14" xr3:uid="{2261A6CD-CA76-4618-8636-9CCD73933F9F}" name="Jurisdiction Contact" dataDxfId="122"/>
    <tableColumn id="15" xr3:uid="{E2342E29-C5DC-49BB-9BEA-8A6A107A12F4}" name="FDA Contact" dataDxfId="121">
      <calculatedColumnFormula>HYPERLINK("mailto:Joseph.Redditt@fda.hhs.gov","Dan Redditt")</calculatedColumnFormula>
    </tableColumn>
  </tableColumns>
  <tableStyleInfo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88EB0003-2D0B-4E95-991B-7051AA181AEF}" name="Table_Virginia" displayName="Table_Virginia" ref="A3:O30" totalsRowShown="0" headerRowDxfId="100" dataDxfId="119" headerRowBorderDxfId="117" tableBorderDxfId="118" totalsRowBorderDxfId="116">
  <autoFilter ref="A3:O30" xr:uid="{2830C442-4B66-49F7-A06B-AFA3FAA8BF3C}"/>
  <tableColumns count="15">
    <tableColumn id="1" xr3:uid="{FA3DCCA6-4027-4E43-A808-B32156C05BF1}" name="Enrolled Jurisdiction Name" dataDxfId="115"/>
    <tableColumn id="2" xr3:uid="{ED1E9220-535C-4F1C-9FB9-E7F0C6D9DF51}" name="Enrollment Date" dataDxfId="114"/>
    <tableColumn id="3" xr3:uid="{9C9DD256-A0AE-446F-B688-6E4458E9017B}" name="Self-Assessment Period" dataDxfId="113"/>
    <tableColumn id="4" xr3:uid="{F16DA8CB-3D59-4006-823B-592D55C30AC7}" name="Self-Assessment Completed" dataDxfId="112"/>
    <tableColumn id="5" xr3:uid="{30E8346B-370E-4D5C-B007-AAEBD102D582}" name="Achieved Conformance with Standard 1" dataDxfId="111"/>
    <tableColumn id="6" xr3:uid="{EBF41138-8F7B-4AF1-A556-CA29C72CCCED}" name="Achieved Conformance with Standard 2" dataDxfId="110"/>
    <tableColumn id="7" xr3:uid="{B0A55FC5-62DB-4309-B773-88DFFAE4EC32}" name="Achieved Conformance with Standard 3" dataDxfId="109"/>
    <tableColumn id="8" xr3:uid="{5D929DAF-DC43-4992-93FA-088515C320D0}" name="Achieved Conformance with Standard 4" dataDxfId="108"/>
    <tableColumn id="9" xr3:uid="{9E034AD6-01FB-4418-81AA-99D09213550C}" name="Achieved Conformance with Standard 5" dataDxfId="107"/>
    <tableColumn id="10" xr3:uid="{51A2031E-3CD2-432F-B5C1-EAF1FE8CC7AD}" name="Achieved Conformance with Standard 6" dataDxfId="106"/>
    <tableColumn id="11" xr3:uid="{CC439632-0467-4D6E-991E-3DEE9663B9FB}" name="Achieved Conformance with Standard 7" dataDxfId="105"/>
    <tableColumn id="12" xr3:uid="{DF9B38CE-3011-46C7-A70F-7E0406847D2C}" name="Achieved Conformance with Standard 8" dataDxfId="104"/>
    <tableColumn id="13" xr3:uid="{25E15B7C-0C44-454D-A630-748378689C6E}" name="Achieved Conformance with Standard 9" dataDxfId="103"/>
    <tableColumn id="14" xr3:uid="{E2FAD3EF-90B3-45D7-BDA3-3AE03349394F}" name="Jurisdiction Contact" dataDxfId="102"/>
    <tableColumn id="15" xr3:uid="{0ABCA528-A300-4177-BB99-3824469BB620}" name="FDA Contact" dataDxfId="101"/>
  </tableColumns>
  <tableStyleInfo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DB562AFA-7555-4AD5-A5E2-95D3B2B9CC80}" name="Table_Washington" displayName="Table_Washington" ref="A3:O45" totalsRowShown="0" headerRowDxfId="80" dataDxfId="99" headerRowBorderDxfId="97" tableBorderDxfId="98" totalsRowBorderDxfId="96">
  <autoFilter ref="A3:O45" xr:uid="{5E0AD4B2-D179-4E05-B689-3B3D8FDD500D}"/>
  <tableColumns count="15">
    <tableColumn id="1" xr3:uid="{52833B14-91A1-4562-82EF-353429121705}" name="Enrolled Jurisdiction Name" dataDxfId="95"/>
    <tableColumn id="2" xr3:uid="{CDEACB61-1B8E-44B7-B33C-8CB95B928F66}" name="Enrollment Date" dataDxfId="94"/>
    <tableColumn id="3" xr3:uid="{770339C1-8E89-4AFA-B00E-822E3EB92AD5}" name="Self-Assessment Period" dataDxfId="93"/>
    <tableColumn id="4" xr3:uid="{66F9A22A-6496-471C-BEB3-156FD96FC496}" name="Self-Assessment Completed" dataDxfId="92"/>
    <tableColumn id="5" xr3:uid="{52A805C9-E1FF-430F-9BB3-FA726FA975F8}" name="Achieved Conformance with Standard 1" dataDxfId="91"/>
    <tableColumn id="6" xr3:uid="{C114883C-B4EA-42A1-B798-2908873B51B7}" name="Achieved Conformance with Standard 2" dataDxfId="90"/>
    <tableColumn id="7" xr3:uid="{1F94CD75-BC60-417E-9085-1E5E370D187C}" name="Achieved Conformance with Standard 3" dataDxfId="89"/>
    <tableColumn id="8" xr3:uid="{34BA0297-D558-402A-A89F-61A6DB45D019}" name="Achieved Conformance with Standard 4" dataDxfId="88"/>
    <tableColumn id="9" xr3:uid="{B5555906-23EA-4087-9AD9-729E2382B6F0}" name="Achieved Conformance with Standard 5" dataDxfId="87"/>
    <tableColumn id="10" xr3:uid="{16CE80B3-6E7E-4B2C-B364-015A5B2C6718}" name="Achieved Conformance with Standard 6" dataDxfId="86"/>
    <tableColumn id="11" xr3:uid="{B570A75A-4686-4BA4-9F08-184CBC32D2B2}" name="Achieved Conformance with Standard 7" dataDxfId="85"/>
    <tableColumn id="12" xr3:uid="{AAB0A02F-85C1-441F-BE1C-0E28F95C531A}" name="Achieved Conformance with Standard 8" dataDxfId="84"/>
    <tableColumn id="13" xr3:uid="{45CED41D-78AC-4460-A012-31B660A3F2B8}" name="Achieved Conformance with Standard 9" dataDxfId="83"/>
    <tableColumn id="14" xr3:uid="{276BE075-B747-4C44-A491-7DB191AB3C1D}" name="Jurisdiction Contact" dataDxfId="82"/>
    <tableColumn id="15" xr3:uid="{F6F902F2-2D12-4947-B0D0-B1ED4685519A}" name="FDA Contact" dataDxfId="81"/>
  </tableColumns>
  <tableStyleInfo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E8A085DE-E294-44C0-AC51-5A739B22744A}" name="Table_Washington D.C." displayName="Table_Washington_D.C." ref="A3:O6" totalsRowShown="0" headerRowDxfId="60" dataDxfId="79" headerRowBorderDxfId="77" tableBorderDxfId="78" totalsRowBorderDxfId="76">
  <autoFilter ref="A3:O6" xr:uid="{33F0DA52-D6B2-447B-97B7-7E5B0294386F}"/>
  <tableColumns count="15">
    <tableColumn id="1" xr3:uid="{1298C456-F4B1-40C9-A475-56DC40E70AAF}" name="Enrolled Jurisdiction Name" dataDxfId="75"/>
    <tableColumn id="2" xr3:uid="{789EFE9B-5003-415C-B7FA-0BE2983F7B33}" name="Enrollment Date" dataDxfId="74"/>
    <tableColumn id="3" xr3:uid="{2E5206E3-2250-4637-8931-CB1AB4BAFC8C}" name="Self-Assessment Period" dataDxfId="73"/>
    <tableColumn id="4" xr3:uid="{7CAA4D68-9A8F-409D-9405-29B632CAE74A}" name="Self-Assessment Completed" dataDxfId="72"/>
    <tableColumn id="5" xr3:uid="{107CF381-09FF-469E-8779-2624F209BD12}" name="Achieved Conformance with Standard 1" dataDxfId="71"/>
    <tableColumn id="6" xr3:uid="{6B6EA35A-3B1B-476B-8086-CCB8CB159992}" name="Achieved Conformance with Standard 2" dataDxfId="70"/>
    <tableColumn id="7" xr3:uid="{861169D5-2226-4D2C-B9BC-48CFEDDE4BCF}" name="Achieved Conformance with Standard 3" dataDxfId="69"/>
    <tableColumn id="8" xr3:uid="{D84B7580-F89F-4562-B411-75F054734CE4}" name="Achieved Conformance with Standard 4" dataDxfId="68"/>
    <tableColumn id="9" xr3:uid="{A6BC8F2D-833B-443E-B9E2-39F6C838CC1F}" name="Achieved Conformance with Standard 5" dataDxfId="67"/>
    <tableColumn id="10" xr3:uid="{C3029D43-8C2A-4CF5-8089-1AABCAEB873D}" name="Achieved Conformance with Standard 6" dataDxfId="66"/>
    <tableColumn id="11" xr3:uid="{F513DE64-B86B-4E88-8530-207BFB9F9F52}" name="Achieved Conformance with Standard 7" dataDxfId="65"/>
    <tableColumn id="12" xr3:uid="{B58C60D0-D0F4-447B-BEC7-5E8D95F13E5E}" name="Achieved Conformance with Standard 8" dataDxfId="64"/>
    <tableColumn id="13" xr3:uid="{C733BA43-7FD9-4D3A-A669-1F5D91D2C791}" name="Achieved Conformance with Standard 9" dataDxfId="63"/>
    <tableColumn id="14" xr3:uid="{235A519C-8735-4A01-A78A-CBF534DC1CF3}" name="Jurisdiction Contact" dataDxfId="62"/>
    <tableColumn id="15" xr3:uid="{81A00A6F-C281-48DF-B5A4-A33BABCD6292}" name="FDA Contact" dataDxfId="61"/>
  </tableColumns>
  <tableStyleInfo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21B59883-D101-4366-9D22-9A283C9E07FA}" name="Table_West Virginia" displayName="Table_West_Virginia" ref="A3:O11" totalsRowShown="0" headerRowDxfId="40" dataDxfId="59" headerRowBorderDxfId="57" tableBorderDxfId="58" totalsRowBorderDxfId="56">
  <autoFilter ref="A3:O11" xr:uid="{554A9CDB-C065-4287-BA71-66E8F214B004}"/>
  <tableColumns count="15">
    <tableColumn id="1" xr3:uid="{EBCD68E4-0523-4574-AD8E-9A6BDCE1E558}" name="Enrolled Jurisdiction Name" dataDxfId="55"/>
    <tableColumn id="2" xr3:uid="{19C503F4-DD06-4456-9EF8-B7E742170E76}" name="Enrollment Date" dataDxfId="54"/>
    <tableColumn id="3" xr3:uid="{E6B7A89B-11F1-454A-A45C-B21101D82898}" name="Self-Assessment Period" dataDxfId="53"/>
    <tableColumn id="4" xr3:uid="{B3D4C156-870F-4E62-9628-27066C1FD2B6}" name="Self-Assessment Completed" dataDxfId="52"/>
    <tableColumn id="5" xr3:uid="{A4F615A4-444D-4E61-AE9C-A162731DE783}" name="Achieved Conformance with Standard 1" dataDxfId="51"/>
    <tableColumn id="6" xr3:uid="{CD91C0C1-B9B5-4811-B8F1-53DB7C9F20DD}" name="Achieved Conformance with Standard 2" dataDxfId="50"/>
    <tableColumn id="7" xr3:uid="{E8D0CFB8-D9D1-4C93-B29E-E65687B9315E}" name="Achieved Conformance with Standard 3" dataDxfId="49"/>
    <tableColumn id="8" xr3:uid="{665ECA8E-E79C-4856-BD3D-B00119C0A506}" name="Achieved Conformance with Standard 4" dataDxfId="48"/>
    <tableColumn id="9" xr3:uid="{9BF1F30B-C6EC-4514-855A-63F468BA0DEF}" name="Achieved Conformance with Standard 5" dataDxfId="47"/>
    <tableColumn id="10" xr3:uid="{347A9FF3-5187-4744-B50C-83C2F12E7D07}" name="Achieved Conformance with Standard 6" dataDxfId="46"/>
    <tableColumn id="11" xr3:uid="{5A931C81-305C-468A-BAB5-48FD411BDFFF}" name="Achieved Conformance with Standard 7" dataDxfId="45"/>
    <tableColumn id="12" xr3:uid="{BDB886A0-8677-4340-A551-97DC631177C7}" name="Achieved Conformance with Standard 8" dataDxfId="44"/>
    <tableColumn id="13" xr3:uid="{DD040AA8-4006-405B-B665-8C0DD751243C}" name="Achieved Conformance with Standard 9" dataDxfId="43"/>
    <tableColumn id="14" xr3:uid="{C572C89E-1D88-40C4-9E27-C5BF3BE464EC}" name="Jurisdiction Contact" dataDxfId="42"/>
    <tableColumn id="15" xr3:uid="{B66C2FB8-B3EC-4F2F-B95F-E0ABCF9D1451}" name="FDA Contact" dataDxfId="41"/>
  </tableColumns>
  <tableStyleInfo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D0509B99-3BAB-4CB7-83CC-A1E87525A354}" name="Table_Wisconsin" displayName="Table_Wisconsin" ref="A3:O45" totalsRowShown="0" headerRowDxfId="20" dataDxfId="39" headerRowBorderDxfId="37" tableBorderDxfId="38" totalsRowBorderDxfId="36">
  <autoFilter ref="A3:O45" xr:uid="{B42F1D72-6445-4710-A611-3AA37FD86FDC}"/>
  <tableColumns count="15">
    <tableColumn id="1" xr3:uid="{3E4BC878-2F1C-4DFF-9E4F-346C5837EAE9}" name="Enrolled Jurisdiction Name" dataDxfId="35"/>
    <tableColumn id="2" xr3:uid="{B0A35CE6-5D41-42B6-8411-B262D753F697}" name="Enrollment Date" dataDxfId="34"/>
    <tableColumn id="3" xr3:uid="{E5472718-2A7D-45DA-B074-CAB8D1EF761B}" name="Self-Assessment Period" dataDxfId="33"/>
    <tableColumn id="4" xr3:uid="{D5DFE045-B817-4F8F-B628-B24A94FC71CB}" name="Self-Assessment Completed" dataDxfId="32"/>
    <tableColumn id="5" xr3:uid="{00598B07-1001-4701-9794-2AEA74F6C00B}" name="Achieved Conformance with Standard 1" dataDxfId="31"/>
    <tableColumn id="6" xr3:uid="{450D7704-CF53-4B1C-B3F9-C5C68D0618B3}" name="Achieved Conformance with Standard 2" dataDxfId="30"/>
    <tableColumn id="7" xr3:uid="{0C64B8D8-BE12-4FA4-87B2-BDFD93E7C930}" name="Achieved Conformance with Standard 3" dataDxfId="29"/>
    <tableColumn id="8" xr3:uid="{FBD5ADA7-7BA0-4C6B-A1CC-6D76E96D3C40}" name="Achieved Conformance with Standard 4" dataDxfId="28"/>
    <tableColumn id="9" xr3:uid="{2D2136B0-0052-4E01-983F-B26A20AD815A}" name="Achieved Conformance with Standard 5" dataDxfId="27"/>
    <tableColumn id="10" xr3:uid="{9718819B-51D6-48AF-B858-12D0D9AF6E36}" name="Achieved Conformance with Standard 6" dataDxfId="26"/>
    <tableColumn id="11" xr3:uid="{BE3ADB83-8BB7-4B6C-9080-E1DD85CFFF2A}" name="Achieved Conformance with Standard 7" dataDxfId="25"/>
    <tableColumn id="12" xr3:uid="{CFF78C03-FF28-4BC0-A6DD-A6FCFA4B26BF}" name="Achieved Conformance with Standard 8" dataDxfId="24"/>
    <tableColumn id="13" xr3:uid="{9E13A564-6260-43F5-9D3B-57D0947BAD1D}" name="Achieved Conformance with Standard 9" dataDxfId="23"/>
    <tableColumn id="14" xr3:uid="{879E0E60-FB15-474B-B6F9-80757A708ADA}" name="Jurisdiction Contact" dataDxfId="22"/>
    <tableColumn id="15" xr3:uid="{F35BA6F8-19BE-4899-8647-981AFE3F81A9}" name="FDA Contact" dataDxfId="21"/>
  </tableColumns>
  <tableStyleInfo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984BEA41-04FA-4B74-811B-C57CD45C50F1}" name="Table_Wyoming" displayName="Table_Wyoming" ref="A3:O10" totalsRowShown="0" headerRowDxfId="0" dataDxfId="19" headerRowBorderDxfId="17" tableBorderDxfId="18" totalsRowBorderDxfId="16">
  <autoFilter ref="A3:O10" xr:uid="{E5754BD9-DD46-4B30-A64F-B1D41E747CBD}"/>
  <tableColumns count="15">
    <tableColumn id="1" xr3:uid="{58439C9C-5218-4394-8F2E-3DDD32AB1A67}" name="Enrolled Jurisdiction Name" dataDxfId="15"/>
    <tableColumn id="2" xr3:uid="{7571BEB2-E069-4FE2-AEF4-CC28A582F674}" name="Enrollment Date" dataDxfId="14"/>
    <tableColumn id="3" xr3:uid="{D3A00847-BE2F-467A-B6E7-6830FFD125FC}" name="Self-Assessment Period" dataDxfId="13"/>
    <tableColumn id="4" xr3:uid="{C038B2B9-4154-45AE-A442-270FEF270E11}" name="Self-Assessment Completed" dataDxfId="12"/>
    <tableColumn id="5" xr3:uid="{2A1B8F6D-7281-47DA-8986-09436174538A}" name="Achieved Conformance with Standard 1" dataDxfId="11"/>
    <tableColumn id="6" xr3:uid="{CBD7CD20-43A7-4B47-A2F0-3633182D11C3}" name="Achieved Conformance with Standard 2" dataDxfId="10"/>
    <tableColumn id="7" xr3:uid="{D691A4E2-12C0-40F3-8B24-099793DA45D2}" name="Achieved Conformance with Standard 3" dataDxfId="9"/>
    <tableColumn id="8" xr3:uid="{24E4D4EF-A585-495D-A610-38FB8CD76F6F}" name="Achieved Conformance with Standard 4" dataDxfId="8"/>
    <tableColumn id="9" xr3:uid="{B6126A4D-331C-44D1-898F-48D197932893}" name="Achieved Conformance with Standard 5" dataDxfId="7"/>
    <tableColumn id="10" xr3:uid="{5462E6BE-ED55-4245-AA6B-73B426678EE8}" name="Achieved Conformance with Standard 6" dataDxfId="6"/>
    <tableColumn id="11" xr3:uid="{56018992-E28D-4013-AA56-B1150706E549}" name="Achieved Conformance with Standard 7" dataDxfId="5"/>
    <tableColumn id="12" xr3:uid="{3D2E4585-92D2-4B04-B08E-9E67BFC374D2}" name="Achieved Conformance with Standard 8" dataDxfId="4"/>
    <tableColumn id="13" xr3:uid="{04E8554D-F5DA-41FE-BE27-422FC61ACB9B}" name="Achieved Conformance with Standard 9" dataDxfId="3"/>
    <tableColumn id="14" xr3:uid="{BBACC1A6-59A6-41E3-91A3-B4B1D8BFADA5}" name="Jurisdiction Contact" dataDxfId="2"/>
    <tableColumn id="15" xr3:uid="{22100B81-6776-45D9-B584-475F78F00B01}" name="FDA Contact" dataDxfId="1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F2AA119-F51F-496F-90BB-1A129269A874}" name="Table_California" displayName="Table_California" ref="A3:O61" totalsRowShown="0" headerRowDxfId="1000" dataDxfId="1019" headerRowBorderDxfId="1017" tableBorderDxfId="1018" totalsRowBorderDxfId="1016">
  <autoFilter ref="A3:O61" xr:uid="{4A4B028F-9B24-4781-99FB-D4B729E00EAB}"/>
  <tableColumns count="15">
    <tableColumn id="1" xr3:uid="{29EBF92B-D366-48A6-8240-8F0955EE0BE8}" name="Enrolled Jurisdiction Name" dataDxfId="1015"/>
    <tableColumn id="2" xr3:uid="{171E501D-C64E-41C4-8E79-64B08E1F83A2}" name="Enrollment Date" dataDxfId="1014"/>
    <tableColumn id="3" xr3:uid="{61A7D232-B8C8-4EBC-A0F0-B904289C24B1}" name="Self-Assessment Period" dataDxfId="1013"/>
    <tableColumn id="4" xr3:uid="{9FAC0382-5AD7-408F-AC8E-23A5BD280175}" name="Self-Assessment Completed" dataDxfId="1012"/>
    <tableColumn id="5" xr3:uid="{72D67A96-0240-40F4-BBB5-ECA93C54E056}" name="Achieved Conformance with Standard 1" dataDxfId="1011"/>
    <tableColumn id="6" xr3:uid="{34B2B297-71C6-469C-84B5-9933E9486FEB}" name="Achieved Conformance with Standard 2" dataDxfId="1010"/>
    <tableColumn id="7" xr3:uid="{62EF1F12-4303-4BF6-A7F0-C5BEAF990485}" name="Achieved Conformance with Standard 3" dataDxfId="1009"/>
    <tableColumn id="8" xr3:uid="{24AFA881-1BCB-4104-99AB-A38EF60C3610}" name="Achieved Conformance with Standard 4" dataDxfId="1008"/>
    <tableColumn id="9" xr3:uid="{1B72CE14-68FA-4E60-8F5C-FBC6D34801BB}" name="Achieved Conformance with Standard 5" dataDxfId="1007"/>
    <tableColumn id="10" xr3:uid="{1C9A3E55-0401-4AED-A354-A70465445EEC}" name="Achieved Conformance with Standard 6" dataDxfId="1006"/>
    <tableColumn id="11" xr3:uid="{37360E3C-0E51-4048-BBED-F66D8621074A}" name="Achieved Conformance with Standard 7" dataDxfId="1005"/>
    <tableColumn id="12" xr3:uid="{B287F307-58C6-48C1-8D3D-78BF298C7D7F}" name="Achieved Conformance with Standard 8" dataDxfId="1004"/>
    <tableColumn id="13" xr3:uid="{6DB1A020-FF41-4BAD-91B1-8C360F673744}" name="Achieved Conformance with Standard 9" dataDxfId="1003"/>
    <tableColumn id="14" xr3:uid="{1214A6AE-17DC-4D77-BDCB-094DE60A25C0}" name="Jurisdiction Contact" dataDxfId="1002"/>
    <tableColumn id="15" xr3:uid="{0DE885A4-1342-4DBD-91EE-641EFAD2CA43}" name="FDA Contact" dataDxfId="1001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A412EFA-6625-44E5-AC56-E67466D379FE}" name="Table_Colorado" displayName="Table_Colorado" ref="A3:O57" totalsRowShown="0" headerRowDxfId="980" dataDxfId="999" headerRowBorderDxfId="997" tableBorderDxfId="998" totalsRowBorderDxfId="996">
  <autoFilter ref="A3:O57" xr:uid="{40562AD8-92EE-44A9-A42E-3CFB277B41B5}"/>
  <tableColumns count="15">
    <tableColumn id="1" xr3:uid="{ABBDF6EE-581F-47FB-BDF8-5CEF2F7A9C22}" name="Enrolled Jurisdiction Name" dataDxfId="995"/>
    <tableColumn id="2" xr3:uid="{68EE65D0-C3F7-4343-B09F-E764819797FD}" name="Enrollment Date" dataDxfId="994"/>
    <tableColumn id="3" xr3:uid="{F0B02A7D-E217-438E-95FD-48A933495439}" name="Self-Assessment Period" dataDxfId="993"/>
    <tableColumn id="4" xr3:uid="{2BB9E9B9-09C6-440C-8E0B-EA8B8FEEE4B1}" name="Self-Assessment Completed" dataDxfId="992"/>
    <tableColumn id="5" xr3:uid="{2F7857FA-A3F0-4F12-A417-F0CCC09C198D}" name="Achieved Conformance with Standard 1" dataDxfId="991"/>
    <tableColumn id="6" xr3:uid="{64D44241-9D2D-4C02-B96B-EF2BA8AA17F3}" name="Achieved Conformance with Standard 2" dataDxfId="990"/>
    <tableColumn id="7" xr3:uid="{6995BAC4-DD87-447F-9D6A-1748FCDF30A8}" name="Achieved Conformance with Standard 3" dataDxfId="989"/>
    <tableColumn id="8" xr3:uid="{227EF4AE-77C6-413B-8C93-5D7CDD5827E5}" name="Achieved Conformance with Standard 4" dataDxfId="988"/>
    <tableColumn id="9" xr3:uid="{C7BAABE7-437E-4D3F-B430-523D8EA5A2BF}" name="Achieved Conformance with Standard 5" dataDxfId="987"/>
    <tableColumn id="10" xr3:uid="{2A45B5A0-9A07-4256-BE2D-81E94048205F}" name="Achieved Conformance with Standard 6" dataDxfId="986"/>
    <tableColumn id="11" xr3:uid="{1DF174E4-AFB8-43EC-9317-8C41350424CE}" name="Achieved Conformance with Standard 7" dataDxfId="985"/>
    <tableColumn id="12" xr3:uid="{F688641F-03AE-43E0-8CC9-35A620278ACF}" name="Achieved Conformance with Standard 8" dataDxfId="984"/>
    <tableColumn id="13" xr3:uid="{BC50DB4B-A84B-422A-88D1-12C6797B59C8}" name="Achieved Conformance with Standard 9" dataDxfId="983"/>
    <tableColumn id="14" xr3:uid="{3979796F-09E2-4B16-AB51-F41D48A52192}" name="Jurisdiction Contact" dataDxfId="982"/>
    <tableColumn id="15" xr3:uid="{6621E1BC-68A6-4161-BEBF-8C6B746BCCB2}" name="FDA Contact" dataDxfId="981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C67AFE96-6DE9-43A2-A6E2-0F4312BEF88B}" name="Table_Connecticut" displayName="Table_Connecticut" ref="A3:O27" totalsRowShown="0" headerRowDxfId="960" dataDxfId="979" headerRowBorderDxfId="977" tableBorderDxfId="978" totalsRowBorderDxfId="976">
  <autoFilter ref="A3:O27" xr:uid="{A45EE24B-B0DA-467D-A559-1CEC22F9E9AA}"/>
  <tableColumns count="15">
    <tableColumn id="1" xr3:uid="{61DD43E8-219C-4595-9DBF-20370C7C427F}" name="Enrolled Jurisdiction Name" dataDxfId="975"/>
    <tableColumn id="2" xr3:uid="{0CB9D64C-825F-40FC-8261-14676E0851E7}" name="Enrollment Date" dataDxfId="974"/>
    <tableColumn id="3" xr3:uid="{FF561948-9350-4A24-A3EB-1BE08BDC789E}" name="Self-Assessment Period" dataDxfId="973"/>
    <tableColumn id="4" xr3:uid="{DBFAB9FC-C5A7-4E2B-9AC2-D5723E7E4E74}" name="Self-Assessment Completed" dataDxfId="972"/>
    <tableColumn id="5" xr3:uid="{9C84ED49-CB9B-4456-B685-43DBF64A673B}" name="Achieved Conformance with Standard 1" dataDxfId="971"/>
    <tableColumn id="6" xr3:uid="{44027C7F-76DA-4D32-AAA5-8162C05DE851}" name="Achieved Conformance with Standard 2" dataDxfId="970"/>
    <tableColumn id="7" xr3:uid="{8619648B-57F4-4802-88B0-434C0296CB55}" name="Achieved Conformance with Standard 3" dataDxfId="969"/>
    <tableColumn id="8" xr3:uid="{7E1B5B65-1E38-42A6-BA7B-A06FAF18C1F2}" name="Achieved Conformance with Standard 4" dataDxfId="968"/>
    <tableColumn id="9" xr3:uid="{A98392A2-A706-4B16-A6D4-1B993AB7A5CD}" name="Achieved Conformance with Standard 5" dataDxfId="967"/>
    <tableColumn id="10" xr3:uid="{B39168E9-C0D7-4A4B-BD20-F5F3B2DEACB4}" name="Achieved Conformance with Standard 6" dataDxfId="966"/>
    <tableColumn id="11" xr3:uid="{8675515A-16ED-4CC9-AD6D-B9137FF8410D}" name="Achieved Conformance with Standard 7" dataDxfId="965"/>
    <tableColumn id="12" xr3:uid="{30EB33ED-5BD2-421E-895D-C463066D661E}" name="Achieved Conformance with Standard 8" dataDxfId="964"/>
    <tableColumn id="13" xr3:uid="{C41A7515-F03B-4AE5-A50D-93A0CA21F231}" name="Achieved Conformance with Standard 9" dataDxfId="963"/>
    <tableColumn id="14" xr3:uid="{37A47AD4-0FA0-49D6-AEC6-DDD5CBD22F59}" name="Jurisdiction Contact" dataDxfId="962"/>
    <tableColumn id="15" xr3:uid="{9121ECF1-2C34-42A7-8ECA-C55314DA6BF7}" name="FDA Contact" dataDxfId="961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F4E3D49-A251-45BD-85F9-02F434435F8E}" name="Table_Delaware" displayName="Table_Delaware" ref="A3:O4" totalsRowShown="0" headerRowDxfId="956" dataDxfId="940" headerRowBorderDxfId="958" tableBorderDxfId="959" totalsRowBorderDxfId="957">
  <autoFilter ref="A3:O4" xr:uid="{803D7025-28EB-4D5D-A4BA-D56E1ACFC07E}"/>
  <tableColumns count="15">
    <tableColumn id="1" xr3:uid="{5009D47A-634B-4902-AA49-9A42C9137B52}" name="Enrolled Jurisdiction Name" dataDxfId="955">
      <calculatedColumnFormula>HYPERLINK("http://www.state.de.us/dhss/dph/index.html","Delaware Division of Public Health")</calculatedColumnFormula>
    </tableColumn>
    <tableColumn id="2" xr3:uid="{3B293812-B020-4859-B139-50EC50A019E5}" name="Enrollment Date" dataDxfId="954"/>
    <tableColumn id="3" xr3:uid="{5BDD577F-1C6C-4AC5-9CC0-BA7BF7301A9A}" name="Self-Assessment Period" dataDxfId="953"/>
    <tableColumn id="4" xr3:uid="{3F42EF4A-FFCD-4F6A-A63C-CB1A6C86FE01}" name="Self-Assessment Completed" dataDxfId="952"/>
    <tableColumn id="5" xr3:uid="{2B269990-3190-49E1-A278-636CB706AA44}" name="Achieved Conformance with Standard 1" dataDxfId="951"/>
    <tableColumn id="6" xr3:uid="{4A39528F-9C5D-412F-A5FA-E671A9F148EF}" name="Achieved Conformance with Standard 2" dataDxfId="950"/>
    <tableColumn id="7" xr3:uid="{3F4A2443-7EA3-4FC4-93D9-BDC31EE467B4}" name="Achieved Conformance with Standard 3" dataDxfId="949"/>
    <tableColumn id="8" xr3:uid="{8C9A2E64-0256-4FE6-A505-653A5893FBFD}" name="Achieved Conformance with Standard 4" dataDxfId="948"/>
    <tableColumn id="9" xr3:uid="{04EEB08E-219C-48FB-BF7D-B6AE446D34FD}" name="Achieved Conformance with Standard 5" dataDxfId="947"/>
    <tableColumn id="10" xr3:uid="{40CDB772-E6D1-4906-AEB9-33BFA6A296D3}" name="Achieved Conformance with Standard 6" dataDxfId="946"/>
    <tableColumn id="11" xr3:uid="{A51C05F7-7F90-4D58-8B34-F7CC770EEB17}" name="Achieved Conformance with Standard 7" dataDxfId="945"/>
    <tableColumn id="12" xr3:uid="{B5031B03-1624-4F91-A8F8-F07C023DB0B2}" name="Achieved Conformance with Standard 8" dataDxfId="944"/>
    <tableColumn id="13" xr3:uid="{8631D83C-EA15-480A-9850-1E4FE7CF4D94}" name="Achieved Conformance with Standard 9" dataDxfId="943"/>
    <tableColumn id="14" xr3:uid="{C5093B24-1851-44F5-A329-3576FC468480}" name="Jurisdiction Contact" dataDxfId="942">
      <calculatedColumnFormula>HYPERLINK("mailto:Sandi.Spiegel@delaware.gov","Sandi Spiegel")</calculatedColumnFormula>
    </tableColumn>
    <tableColumn id="15" xr3:uid="{21002D96-4E4A-41F3-91F9-6D6B5D81F11C}" name="FDA Contact" dataDxfId="941">
      <calculatedColumnFormula>HYPERLINK("mailto:Kenya.Moon@fda.hhs.gov","Kenya Moon")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9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0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1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2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3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4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5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6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7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8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9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0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1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2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3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4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5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6.xml"/><Relationship Id="rId1" Type="http://schemas.openxmlformats.org/officeDocument/2006/relationships/printerSettings" Target="../printerSettings/printerSettings5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46CF8-2618-4225-9107-E3D5DCB37679}">
  <dimension ref="A1:A71"/>
  <sheetViews>
    <sheetView tabSelected="1" topLeftCell="A10" workbookViewId="0"/>
  </sheetViews>
  <sheetFormatPr defaultRowHeight="15" x14ac:dyDescent="0.25"/>
  <sheetData>
    <row r="1" spans="1:1" ht="21" x14ac:dyDescent="0.35">
      <c r="A1" s="1" t="s">
        <v>0</v>
      </c>
    </row>
    <row r="2" spans="1:1" x14ac:dyDescent="0.25">
      <c r="A2" t="s">
        <v>1</v>
      </c>
    </row>
    <row r="3" spans="1:1" x14ac:dyDescent="0.25">
      <c r="A3" t="s">
        <v>2</v>
      </c>
    </row>
    <row r="4" spans="1:1" x14ac:dyDescent="0.25">
      <c r="A4" t="s">
        <v>3</v>
      </c>
    </row>
    <row r="5" spans="1:1" ht="21" x14ac:dyDescent="0.35">
      <c r="A5" s="1" t="s">
        <v>4</v>
      </c>
    </row>
    <row r="6" spans="1:1" x14ac:dyDescent="0.25">
      <c r="A6" t="s">
        <v>5</v>
      </c>
    </row>
    <row r="7" spans="1:1" x14ac:dyDescent="0.25">
      <c r="A7" t="s">
        <v>6</v>
      </c>
    </row>
    <row r="8" spans="1:1" x14ac:dyDescent="0.25">
      <c r="A8" t="s">
        <v>7</v>
      </c>
    </row>
    <row r="9" spans="1:1" x14ac:dyDescent="0.25">
      <c r="A9" t="s">
        <v>8</v>
      </c>
    </row>
    <row r="10" spans="1:1" x14ac:dyDescent="0.25">
      <c r="A10" t="s">
        <v>9</v>
      </c>
    </row>
    <row r="11" spans="1:1" x14ac:dyDescent="0.25">
      <c r="A11" t="s">
        <v>10</v>
      </c>
    </row>
    <row r="12" spans="1:1" x14ac:dyDescent="0.25">
      <c r="A12" t="s">
        <v>11</v>
      </c>
    </row>
    <row r="13" spans="1:1" x14ac:dyDescent="0.25">
      <c r="A13" t="s">
        <v>12</v>
      </c>
    </row>
    <row r="14" spans="1:1" x14ac:dyDescent="0.25">
      <c r="A14" t="s">
        <v>13</v>
      </c>
    </row>
    <row r="15" spans="1:1" ht="21" x14ac:dyDescent="0.35">
      <c r="A15" s="1" t="s">
        <v>14</v>
      </c>
    </row>
    <row r="16" spans="1:1" x14ac:dyDescent="0.25">
      <c r="A16" s="2" t="str">
        <f>HYPERLINK("#Alabama!A1","Alabama")</f>
        <v>Alabama</v>
      </c>
    </row>
    <row r="17" spans="1:1" x14ac:dyDescent="0.25">
      <c r="A17" s="2" t="str">
        <f>HYPERLINK("#Alaska!A1","Alaska")</f>
        <v>Alaska</v>
      </c>
    </row>
    <row r="18" spans="1:1" x14ac:dyDescent="0.25">
      <c r="A18" s="2" t="str">
        <f>HYPERLINK("#AmericanSamoa!A1","AmericanSamoa")</f>
        <v>AmericanSamoa</v>
      </c>
    </row>
    <row r="19" spans="1:1" x14ac:dyDescent="0.25">
      <c r="A19" s="2" t="str">
        <f>HYPERLINK("#Arizona!A1","Arizona")</f>
        <v>Arizona</v>
      </c>
    </row>
    <row r="20" spans="1:1" x14ac:dyDescent="0.25">
      <c r="A20" s="2" t="str">
        <f>HYPERLINK("#Arkansas!A1","Arkansas")</f>
        <v>Arkansas</v>
      </c>
    </row>
    <row r="21" spans="1:1" x14ac:dyDescent="0.25">
      <c r="A21" s="2" t="str">
        <f>HYPERLINK("#California!A1","California")</f>
        <v>California</v>
      </c>
    </row>
    <row r="22" spans="1:1" x14ac:dyDescent="0.25">
      <c r="A22" s="2" t="str">
        <f>HYPERLINK("#Colorado!A1","Colorado")</f>
        <v>Colorado</v>
      </c>
    </row>
    <row r="23" spans="1:1" x14ac:dyDescent="0.25">
      <c r="A23" s="2" t="str">
        <f>HYPERLINK("#Connecticut!A1","Connecticut")</f>
        <v>Connecticut</v>
      </c>
    </row>
    <row r="24" spans="1:1" x14ac:dyDescent="0.25">
      <c r="A24" s="2" t="str">
        <f>HYPERLINK("#Delaware!A1","Delaware")</f>
        <v>Delaware</v>
      </c>
    </row>
    <row r="25" spans="1:1" x14ac:dyDescent="0.25">
      <c r="A25" s="2" t="str">
        <f>HYPERLINK("#Florida!A1","Florida")</f>
        <v>Florida</v>
      </c>
    </row>
    <row r="26" spans="1:1" x14ac:dyDescent="0.25">
      <c r="A26" s="2" t="str">
        <f>HYPERLINK("#Georgia!A1","Georgia")</f>
        <v>Georgia</v>
      </c>
    </row>
    <row r="27" spans="1:1" x14ac:dyDescent="0.25">
      <c r="A27" s="2" t="str">
        <f>HYPERLINK("#Guam!A1","Guam")</f>
        <v>Guam</v>
      </c>
    </row>
    <row r="28" spans="1:1" x14ac:dyDescent="0.25">
      <c r="A28" s="2" t="str">
        <f>HYPERLINK("#Hawaii!A1","Hawaii")</f>
        <v>Hawaii</v>
      </c>
    </row>
    <row r="29" spans="1:1" x14ac:dyDescent="0.25">
      <c r="A29" s="2" t="str">
        <f>HYPERLINK("#Idaho!A1","Idaho")</f>
        <v>Idaho</v>
      </c>
    </row>
    <row r="30" spans="1:1" x14ac:dyDescent="0.25">
      <c r="A30" s="2" t="str">
        <f>HYPERLINK("#Illinois!A1","Illinois")</f>
        <v>Illinois</v>
      </c>
    </row>
    <row r="31" spans="1:1" x14ac:dyDescent="0.25">
      <c r="A31" s="2" t="str">
        <f>HYPERLINK("#Indiana!A1","Indiana")</f>
        <v>Indiana</v>
      </c>
    </row>
    <row r="32" spans="1:1" x14ac:dyDescent="0.25">
      <c r="A32" s="2" t="str">
        <f>HYPERLINK("#Iowa!A1","Iowa")</f>
        <v>Iowa</v>
      </c>
    </row>
    <row r="33" spans="1:1" x14ac:dyDescent="0.25">
      <c r="A33" s="2" t="str">
        <f>HYPERLINK("#Kansas!A1","Kansas")</f>
        <v>Kansas</v>
      </c>
    </row>
    <row r="34" spans="1:1" x14ac:dyDescent="0.25">
      <c r="A34" s="2" t="str">
        <f>HYPERLINK("#Kentucky!A1","Kentucky")</f>
        <v>Kentucky</v>
      </c>
    </row>
    <row r="35" spans="1:1" x14ac:dyDescent="0.25">
      <c r="A35" s="2" t="str">
        <f>HYPERLINK("#Louisiana!A1","Louisiana")</f>
        <v>Louisiana</v>
      </c>
    </row>
    <row r="36" spans="1:1" x14ac:dyDescent="0.25">
      <c r="A36" s="2" t="str">
        <f>HYPERLINK("#Maine!A1","Maine")</f>
        <v>Maine</v>
      </c>
    </row>
    <row r="37" spans="1:1" x14ac:dyDescent="0.25">
      <c r="A37" s="2" t="str">
        <f>HYPERLINK("#Maryland!A1","Maryland")</f>
        <v>Maryland</v>
      </c>
    </row>
    <row r="38" spans="1:1" x14ac:dyDescent="0.25">
      <c r="A38" s="2" t="str">
        <f>HYPERLINK("#Massachusetts!A1","Massachusetts")</f>
        <v>Massachusetts</v>
      </c>
    </row>
    <row r="39" spans="1:1" x14ac:dyDescent="0.25">
      <c r="A39" s="2" t="str">
        <f>HYPERLINK("#Michigan!A1","Michigan")</f>
        <v>Michigan</v>
      </c>
    </row>
    <row r="40" spans="1:1" x14ac:dyDescent="0.25">
      <c r="A40" s="2" t="str">
        <f>HYPERLINK("#Minnesota!A1","Minnesota")</f>
        <v>Minnesota</v>
      </c>
    </row>
    <row r="41" spans="1:1" x14ac:dyDescent="0.25">
      <c r="A41" s="2" t="str">
        <f>HYPERLINK("#Mississippi!A1","Mississippi")</f>
        <v>Mississippi</v>
      </c>
    </row>
    <row r="42" spans="1:1" x14ac:dyDescent="0.25">
      <c r="A42" s="2" t="str">
        <f>HYPERLINK("#Missouri!A1","Missouri")</f>
        <v>Missouri</v>
      </c>
    </row>
    <row r="43" spans="1:1" x14ac:dyDescent="0.25">
      <c r="A43" s="2" t="str">
        <f>HYPERLINK("#Montana!A1","Montana")</f>
        <v>Montana</v>
      </c>
    </row>
    <row r="44" spans="1:1" x14ac:dyDescent="0.25">
      <c r="A44" s="2" t="str">
        <f>HYPERLINK("#Nebraska!A1","Nebraska")</f>
        <v>Nebraska</v>
      </c>
    </row>
    <row r="45" spans="1:1" x14ac:dyDescent="0.25">
      <c r="A45" s="2" t="str">
        <f>HYPERLINK("#Nevada!A1","Nevada")</f>
        <v>Nevada</v>
      </c>
    </row>
    <row r="46" spans="1:1" x14ac:dyDescent="0.25">
      <c r="A46" s="2" t="str">
        <f>HYPERLINK("#New Hampshire!A1","New Hampshire")</f>
        <v>New Hampshire</v>
      </c>
    </row>
    <row r="47" spans="1:1" x14ac:dyDescent="0.25">
      <c r="A47" s="2" t="str">
        <f>HYPERLINK("#New Jersey!A1","New Jersey")</f>
        <v>New Jersey</v>
      </c>
    </row>
    <row r="48" spans="1:1" x14ac:dyDescent="0.25">
      <c r="A48" s="2" t="str">
        <f>HYPERLINK("#New Mexico!A1","New Mexico")</f>
        <v>New Mexico</v>
      </c>
    </row>
    <row r="49" spans="1:1" x14ac:dyDescent="0.25">
      <c r="A49" s="2" t="str">
        <f>HYPERLINK("#New York!A1","New York")</f>
        <v>New York</v>
      </c>
    </row>
    <row r="50" spans="1:1" x14ac:dyDescent="0.25">
      <c r="A50" s="2" t="str">
        <f>HYPERLINK("#North Carolina!A1","North Carolina")</f>
        <v>North Carolina</v>
      </c>
    </row>
    <row r="51" spans="1:1" x14ac:dyDescent="0.25">
      <c r="A51" s="2" t="str">
        <f>HYPERLINK("#North Dakota!A1","North Dakota")</f>
        <v>North Dakota</v>
      </c>
    </row>
    <row r="52" spans="1:1" x14ac:dyDescent="0.25">
      <c r="A52" s="2" t="str">
        <f>HYPERLINK("#Northern Mariana Islands!A1","Northern Mariana Islands")</f>
        <v>Northern Mariana Islands</v>
      </c>
    </row>
    <row r="53" spans="1:1" x14ac:dyDescent="0.25">
      <c r="A53" s="2" t="str">
        <f>HYPERLINK("#Ohio!A1","Ohio")</f>
        <v>Ohio</v>
      </c>
    </row>
    <row r="54" spans="1:1" x14ac:dyDescent="0.25">
      <c r="A54" s="2" t="str">
        <f>HYPERLINK("#Oklahoma!A1","Oklahoma")</f>
        <v>Oklahoma</v>
      </c>
    </row>
    <row r="55" spans="1:1" x14ac:dyDescent="0.25">
      <c r="A55" s="2" t="str">
        <f>HYPERLINK("#Oregon!A1","Oregon")</f>
        <v>Oregon</v>
      </c>
    </row>
    <row r="56" spans="1:1" x14ac:dyDescent="0.25">
      <c r="A56" s="2" t="str">
        <f>HYPERLINK("#Pennsylvania!A1","Pennsylvania")</f>
        <v>Pennsylvania</v>
      </c>
    </row>
    <row r="57" spans="1:1" x14ac:dyDescent="0.25">
      <c r="A57" s="2" t="str">
        <f>HYPERLINK("#Puerto Rico!A1","Puerto Rico")</f>
        <v>Puerto Rico</v>
      </c>
    </row>
    <row r="58" spans="1:1" x14ac:dyDescent="0.25">
      <c r="A58" s="2" t="str">
        <f>HYPERLINK("#Rhode Island!A1","Rhode Island")</f>
        <v>Rhode Island</v>
      </c>
    </row>
    <row r="59" spans="1:1" x14ac:dyDescent="0.25">
      <c r="A59" s="2" t="str">
        <f>HYPERLINK("#South Carolina!A1","South Carolina")</f>
        <v>South Carolina</v>
      </c>
    </row>
    <row r="60" spans="1:1" x14ac:dyDescent="0.25">
      <c r="A60" s="2" t="str">
        <f>HYPERLINK("#South Dakota!A1","South Dakota")</f>
        <v>South Dakota</v>
      </c>
    </row>
    <row r="61" spans="1:1" x14ac:dyDescent="0.25">
      <c r="A61" s="2" t="str">
        <f>HYPERLINK("#Tennessee!A1","Tennessee")</f>
        <v>Tennessee</v>
      </c>
    </row>
    <row r="62" spans="1:1" x14ac:dyDescent="0.25">
      <c r="A62" s="2" t="str">
        <f>HYPERLINK("#Texas!A1","Texas")</f>
        <v>Texas</v>
      </c>
    </row>
    <row r="63" spans="1:1" x14ac:dyDescent="0.25">
      <c r="A63" s="2" t="str">
        <f>HYPERLINK("#Utah!A1","Utah")</f>
        <v>Utah</v>
      </c>
    </row>
    <row r="64" spans="1:1" x14ac:dyDescent="0.25">
      <c r="A64" s="2" t="str">
        <f>HYPERLINK("#Vermont!A1","Vermont")</f>
        <v>Vermont</v>
      </c>
    </row>
    <row r="65" spans="1:1" x14ac:dyDescent="0.25">
      <c r="A65" s="2" t="str">
        <f>HYPERLINK("#Virgin Island!A1","Virgin Island")</f>
        <v>Virgin Island</v>
      </c>
    </row>
    <row r="66" spans="1:1" x14ac:dyDescent="0.25">
      <c r="A66" s="2" t="str">
        <f>HYPERLINK("#Virginia!A1","Virginia")</f>
        <v>Virginia</v>
      </c>
    </row>
    <row r="67" spans="1:1" x14ac:dyDescent="0.25">
      <c r="A67" s="2" t="str">
        <f>HYPERLINK("#Washington!A1","Washington")</f>
        <v>Washington</v>
      </c>
    </row>
    <row r="68" spans="1:1" x14ac:dyDescent="0.25">
      <c r="A68" s="2" t="str">
        <f>HYPERLINK("#Washington D.C.!A1","Washington D.C.")</f>
        <v>Washington D.C.</v>
      </c>
    </row>
    <row r="69" spans="1:1" x14ac:dyDescent="0.25">
      <c r="A69" s="2" t="str">
        <f>HYPERLINK("#West Virginia!A1","West Virginia")</f>
        <v>West Virginia</v>
      </c>
    </row>
    <row r="70" spans="1:1" x14ac:dyDescent="0.25">
      <c r="A70" s="2" t="str">
        <f>HYPERLINK("#Wisconsin!A1","Wisconsin")</f>
        <v>Wisconsin</v>
      </c>
    </row>
    <row r="71" spans="1:1" x14ac:dyDescent="0.25">
      <c r="A71" s="2" t="str">
        <f>HYPERLINK("#Wyoming!A1","Wyoming")</f>
        <v>Wyoming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9825D-F1A6-458A-8C47-B05A6EC1DFCB}">
  <sheetPr>
    <pageSetUpPr fitToPage="1"/>
  </sheetPr>
  <dimension ref="A1:O4"/>
  <sheetViews>
    <sheetView workbookViewId="0"/>
  </sheetViews>
  <sheetFormatPr defaultRowHeight="15" x14ac:dyDescent="0.25"/>
  <cols>
    <col min="1" max="1" width="33.7109375" customWidth="1"/>
    <col min="2" max="2" width="14.85546875" customWidth="1"/>
    <col min="3" max="3" width="18.42578125" customWidth="1"/>
    <col min="4" max="4" width="22" customWidth="1"/>
    <col min="5" max="13" width="17.28515625" customWidth="1"/>
    <col min="14" max="14" width="14.85546875" customWidth="1"/>
    <col min="15" max="15" width="13.140625" customWidth="1"/>
  </cols>
  <sheetData>
    <row r="1" spans="1:15" x14ac:dyDescent="0.25">
      <c r="A1" t="s">
        <v>289</v>
      </c>
      <c r="B1" s="2" t="str">
        <f>HYPERLINK("#Introduction!A1","Back to Introduction Page")</f>
        <v>Back to Introduction Page</v>
      </c>
    </row>
    <row r="2" spans="1:15" x14ac:dyDescent="0.25">
      <c r="A2" s="21" t="s">
        <v>290</v>
      </c>
    </row>
    <row r="3" spans="1:15" ht="45" x14ac:dyDescent="0.25">
      <c r="A3" s="4" t="s">
        <v>15</v>
      </c>
      <c r="B3" s="3" t="s">
        <v>16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21</v>
      </c>
      <c r="H3" s="3" t="s">
        <v>22</v>
      </c>
      <c r="I3" s="3" t="s">
        <v>23</v>
      </c>
      <c r="J3" s="3" t="s">
        <v>24</v>
      </c>
      <c r="K3" s="3" t="s">
        <v>25</v>
      </c>
      <c r="L3" s="3" t="s">
        <v>26</v>
      </c>
      <c r="M3" s="3" t="s">
        <v>27</v>
      </c>
      <c r="N3" s="3" t="s">
        <v>28</v>
      </c>
      <c r="O3" s="5" t="s">
        <v>29</v>
      </c>
    </row>
    <row r="4" spans="1:15" ht="30" x14ac:dyDescent="0.25">
      <c r="A4" s="16" t="str">
        <f>HYPERLINK("http://www.state.de.us/dhss/dph/index.html","Delaware Division of Public Health")</f>
        <v>Delaware Division of Public Health</v>
      </c>
      <c r="B4" s="17">
        <v>41682</v>
      </c>
      <c r="C4" s="18">
        <v>1</v>
      </c>
      <c r="D4" s="17">
        <v>41890</v>
      </c>
      <c r="E4" s="18" t="s">
        <v>287</v>
      </c>
      <c r="F4" s="18"/>
      <c r="G4" s="18"/>
      <c r="H4" s="18"/>
      <c r="I4" s="18"/>
      <c r="J4" s="18"/>
      <c r="K4" s="18" t="s">
        <v>288</v>
      </c>
      <c r="L4" s="18"/>
      <c r="M4" s="18"/>
      <c r="N4" s="19" t="str">
        <f>HYPERLINK("mailto:Sandi.Spiegel@delaware.gov","Sandi Spiegel")</f>
        <v>Sandi Spiegel</v>
      </c>
      <c r="O4" s="20" t="str">
        <f>HYPERLINK("mailto:Kenya.Moon@fda.hhs.gov","Kenya Moon")</f>
        <v>Kenya Moon</v>
      </c>
    </row>
  </sheetData>
  <pageMargins left="0.15" right="0.15" top="0.25" bottom="0.25" header="0.05" footer="0.05"/>
  <pageSetup orientation="landscape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89558-0777-4247-A135-22493334B05C}">
  <sheetPr>
    <pageSetUpPr fitToPage="1"/>
  </sheetPr>
  <dimension ref="A1:O13"/>
  <sheetViews>
    <sheetView workbookViewId="0"/>
  </sheetViews>
  <sheetFormatPr defaultRowHeight="15" x14ac:dyDescent="0.25"/>
  <cols>
    <col min="1" max="1" width="33.7109375" customWidth="1"/>
    <col min="2" max="2" width="14.85546875" customWidth="1"/>
    <col min="3" max="3" width="18.42578125" customWidth="1"/>
    <col min="4" max="4" width="22" customWidth="1"/>
    <col min="5" max="13" width="17.28515625" customWidth="1"/>
    <col min="14" max="14" width="14.85546875" customWidth="1"/>
    <col min="15" max="15" width="13.140625" customWidth="1"/>
  </cols>
  <sheetData>
    <row r="1" spans="1:15" x14ac:dyDescent="0.25">
      <c r="A1" t="s">
        <v>312</v>
      </c>
      <c r="B1" s="2" t="str">
        <f>HYPERLINK("#Introduction!A1","Back to Introduction Page")</f>
        <v>Back to Introduction Page</v>
      </c>
    </row>
    <row r="2" spans="1:15" x14ac:dyDescent="0.25">
      <c r="A2" s="21" t="s">
        <v>313</v>
      </c>
    </row>
    <row r="3" spans="1:15" ht="45" x14ac:dyDescent="0.25">
      <c r="A3" s="4" t="s">
        <v>15</v>
      </c>
      <c r="B3" s="3" t="s">
        <v>16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21</v>
      </c>
      <c r="H3" s="3" t="s">
        <v>22</v>
      </c>
      <c r="I3" s="3" t="s">
        <v>23</v>
      </c>
      <c r="J3" s="3" t="s">
        <v>24</v>
      </c>
      <c r="K3" s="3" t="s">
        <v>25</v>
      </c>
      <c r="L3" s="3" t="s">
        <v>26</v>
      </c>
      <c r="M3" s="3" t="s">
        <v>27</v>
      </c>
      <c r="N3" s="3" t="s">
        <v>28</v>
      </c>
      <c r="O3" s="5" t="s">
        <v>29</v>
      </c>
    </row>
    <row r="4" spans="1:15" ht="45" x14ac:dyDescent="0.25">
      <c r="A4" s="28" t="s">
        <v>291</v>
      </c>
      <c r="B4" s="7">
        <v>37327</v>
      </c>
      <c r="C4" s="8">
        <v>1</v>
      </c>
      <c r="D4" s="7">
        <v>37672</v>
      </c>
      <c r="E4" s="8" t="s">
        <v>292</v>
      </c>
      <c r="F4" s="8" t="s">
        <v>292</v>
      </c>
      <c r="G4" s="8"/>
      <c r="H4" s="8"/>
      <c r="I4" s="8" t="s">
        <v>292</v>
      </c>
      <c r="J4" s="8"/>
      <c r="K4" s="8" t="s">
        <v>292</v>
      </c>
      <c r="L4" s="8"/>
      <c r="M4" s="8" t="s">
        <v>293</v>
      </c>
      <c r="N4" s="9" t="str">
        <f>HYPERLINK("mailto:Robert.King@freshfromflorida.com","Robert King")</f>
        <v>Robert King</v>
      </c>
      <c r="O4" s="10" t="str">
        <f>HYPERLINK("mailto:Diane.Kelsch@fda.hhs.gov","Diana Kelsch")</f>
        <v>Diana Kelsch</v>
      </c>
    </row>
    <row r="5" spans="1:15" ht="45" x14ac:dyDescent="0.25">
      <c r="A5" s="28" t="s">
        <v>291</v>
      </c>
      <c r="B5" s="7">
        <v>37327</v>
      </c>
      <c r="C5" s="8">
        <v>2</v>
      </c>
      <c r="D5" s="7">
        <v>40056</v>
      </c>
      <c r="E5" s="8"/>
      <c r="F5" s="8" t="s">
        <v>160</v>
      </c>
      <c r="G5" s="8"/>
      <c r="H5" s="8"/>
      <c r="I5" s="8" t="s">
        <v>160</v>
      </c>
      <c r="J5" s="8"/>
      <c r="K5" s="8" t="s">
        <v>160</v>
      </c>
      <c r="L5" s="8"/>
      <c r="M5" s="8" t="s">
        <v>160</v>
      </c>
      <c r="N5" s="9" t="str">
        <f>HYPERLINK("mailto:Robert.King@freshfromflorida.com","Robert King")</f>
        <v>Robert King</v>
      </c>
      <c r="O5" s="10" t="str">
        <f>HYPERLINK("mailto:Diane.Kelsch@fda.hhs.gov","Diana Kelsch")</f>
        <v>Diana Kelsch</v>
      </c>
    </row>
    <row r="6" spans="1:15" ht="45" x14ac:dyDescent="0.25">
      <c r="A6" s="28" t="s">
        <v>291</v>
      </c>
      <c r="B6" s="7">
        <v>37327</v>
      </c>
      <c r="C6" s="8">
        <v>3</v>
      </c>
      <c r="D6" s="7">
        <v>41953</v>
      </c>
      <c r="E6" s="8"/>
      <c r="F6" s="8" t="s">
        <v>294</v>
      </c>
      <c r="G6" s="8"/>
      <c r="H6" s="8"/>
      <c r="I6" s="8"/>
      <c r="J6" s="8"/>
      <c r="K6" s="8" t="s">
        <v>294</v>
      </c>
      <c r="L6" s="8"/>
      <c r="M6" s="8"/>
      <c r="N6" s="9" t="str">
        <f>HYPERLINK("mailto:Carolina.Schaffer@freshfromflorida.com","Carolina Schaffer")</f>
        <v>Carolina Schaffer</v>
      </c>
      <c r="O6" s="10" t="str">
        <f>HYPERLINK("mailto:Diane.Kelsch@fda.hhs.gov","Diana Kelsch")</f>
        <v>Diana Kelsch</v>
      </c>
    </row>
    <row r="7" spans="1:15" ht="45" x14ac:dyDescent="0.25">
      <c r="A7" s="28" t="s">
        <v>291</v>
      </c>
      <c r="B7" s="7">
        <v>37327</v>
      </c>
      <c r="C7" s="8">
        <v>4</v>
      </c>
      <c r="D7" s="7">
        <v>42930</v>
      </c>
      <c r="E7" s="8"/>
      <c r="F7" s="8"/>
      <c r="G7" s="8" t="s">
        <v>295</v>
      </c>
      <c r="H7" s="8"/>
      <c r="I7" s="8" t="s">
        <v>296</v>
      </c>
      <c r="J7" s="8"/>
      <c r="K7" s="8" t="s">
        <v>297</v>
      </c>
      <c r="L7" s="8"/>
      <c r="M7" s="8"/>
      <c r="N7" s="9" t="str">
        <f>HYPERLINK("mailto:christopher.hilliard@freshfromflorida.com","Chris Hilliard")</f>
        <v>Chris Hilliard</v>
      </c>
      <c r="O7" s="10" t="str">
        <f>HYPERLINK("mailto:Diane.Kelsch@fda.hhs.gov","Diana Kelsch")</f>
        <v>Diana Kelsch</v>
      </c>
    </row>
    <row r="8" spans="1:15" ht="45" x14ac:dyDescent="0.25">
      <c r="A8" s="29" t="s">
        <v>298</v>
      </c>
      <c r="B8" s="12">
        <v>37140</v>
      </c>
      <c r="C8" s="13">
        <v>1</v>
      </c>
      <c r="D8" s="12">
        <v>37342</v>
      </c>
      <c r="E8" s="13" t="s">
        <v>299</v>
      </c>
      <c r="F8" s="13"/>
      <c r="G8" s="13"/>
      <c r="H8" s="13"/>
      <c r="I8" s="13" t="s">
        <v>299</v>
      </c>
      <c r="J8" s="13"/>
      <c r="K8" s="13" t="s">
        <v>299</v>
      </c>
      <c r="L8" s="13"/>
      <c r="M8" s="13"/>
      <c r="N8" s="14" t="str">
        <f>HYPERLINK("mailto:michelle.haynes@myfloridalicense.com","Michelle Haynes")</f>
        <v>Michelle Haynes</v>
      </c>
      <c r="O8" s="15" t="str">
        <f>HYPERLINK("mailto:Diane.Kelsch@fda.hhs.gov","Diana Kelsch")</f>
        <v>Diana Kelsch</v>
      </c>
    </row>
    <row r="9" spans="1:15" ht="45" x14ac:dyDescent="0.25">
      <c r="A9" s="29" t="s">
        <v>298</v>
      </c>
      <c r="B9" s="12">
        <v>37140</v>
      </c>
      <c r="C9" s="13">
        <v>2</v>
      </c>
      <c r="D9" s="12">
        <v>38999</v>
      </c>
      <c r="E9" s="13" t="s">
        <v>300</v>
      </c>
      <c r="F9" s="13" t="s">
        <v>301</v>
      </c>
      <c r="G9" s="13"/>
      <c r="H9" s="13"/>
      <c r="I9" s="13" t="s">
        <v>300</v>
      </c>
      <c r="J9" s="13"/>
      <c r="K9" s="13" t="s">
        <v>300</v>
      </c>
      <c r="L9" s="13"/>
      <c r="M9" s="13"/>
      <c r="N9" s="14" t="str">
        <f>HYPERLINK("mailto:michelle.haynes@myfloridalicense.com","Michelle Haynes")</f>
        <v>Michelle Haynes</v>
      </c>
      <c r="O9" s="15" t="str">
        <f>HYPERLINK("mailto:Diane.Kelsch@fda.hhs.gov","Diana Kelsch")</f>
        <v>Diana Kelsch</v>
      </c>
    </row>
    <row r="10" spans="1:15" ht="45" x14ac:dyDescent="0.25">
      <c r="A10" s="29" t="s">
        <v>298</v>
      </c>
      <c r="B10" s="12">
        <v>37140</v>
      </c>
      <c r="C10" s="13">
        <v>3</v>
      </c>
      <c r="D10" s="12">
        <v>40308</v>
      </c>
      <c r="E10" s="13" t="s">
        <v>302</v>
      </c>
      <c r="F10" s="13" t="s">
        <v>303</v>
      </c>
      <c r="G10" s="13" t="s">
        <v>304</v>
      </c>
      <c r="H10" s="13"/>
      <c r="I10" s="13" t="s">
        <v>302</v>
      </c>
      <c r="J10" s="13"/>
      <c r="K10" s="13" t="s">
        <v>302</v>
      </c>
      <c r="L10" s="13"/>
      <c r="M10" s="13"/>
      <c r="N10" s="14" t="str">
        <f>HYPERLINK("mailto:rick.akin@myfloridalicense.com","Rick Akin")</f>
        <v>Rick Akin</v>
      </c>
      <c r="O10" s="15" t="str">
        <f>HYPERLINK("mailto:Diane.Kelsch@fda.hhs.gov","Diana Kelsch")</f>
        <v>Diana Kelsch</v>
      </c>
    </row>
    <row r="11" spans="1:15" ht="45" x14ac:dyDescent="0.25">
      <c r="A11" s="29" t="s">
        <v>298</v>
      </c>
      <c r="B11" s="12">
        <v>37140</v>
      </c>
      <c r="C11" s="13">
        <v>4</v>
      </c>
      <c r="D11" s="12">
        <v>41529</v>
      </c>
      <c r="E11" s="13" t="s">
        <v>305</v>
      </c>
      <c r="F11" s="13" t="s">
        <v>303</v>
      </c>
      <c r="G11" s="13"/>
      <c r="H11" s="13" t="s">
        <v>306</v>
      </c>
      <c r="I11" s="13" t="s">
        <v>305</v>
      </c>
      <c r="J11" s="13"/>
      <c r="K11" s="13" t="s">
        <v>305</v>
      </c>
      <c r="L11" s="13"/>
      <c r="M11" s="13" t="s">
        <v>305</v>
      </c>
      <c r="N11" s="14" t="str">
        <f>HYPERLINK("mailto:michelle.haynes@myfloridalicense.com","Michelle Haynes")</f>
        <v>Michelle Haynes</v>
      </c>
      <c r="O11" s="15" t="str">
        <f>HYPERLINK("mailto:Diane.Kelsch@fda.hhs.gov","Diana Kelsch")</f>
        <v>Diana Kelsch</v>
      </c>
    </row>
    <row r="12" spans="1:15" ht="30" x14ac:dyDescent="0.25">
      <c r="A12" s="6" t="str">
        <f>HYPERLINK("http://www.myflorida.com/dbpr/","Florida Department of Health")</f>
        <v>Florida Department of Health</v>
      </c>
      <c r="B12" s="7">
        <v>39234</v>
      </c>
      <c r="C12" s="8">
        <v>1</v>
      </c>
      <c r="D12" s="7">
        <v>42584</v>
      </c>
      <c r="E12" s="8"/>
      <c r="F12" s="8"/>
      <c r="G12" s="8"/>
      <c r="H12" s="8"/>
      <c r="I12" s="8" t="s">
        <v>307</v>
      </c>
      <c r="J12" s="8"/>
      <c r="K12" s="8" t="s">
        <v>308</v>
      </c>
      <c r="L12" s="8"/>
      <c r="M12" s="8" t="s">
        <v>309</v>
      </c>
      <c r="N12" s="9" t="str">
        <f>HYPERLINK("mailto:vakesha_brown@doh.state.fl.us","VaKesha Brown")</f>
        <v>VaKesha Brown</v>
      </c>
      <c r="O12" s="10" t="str">
        <f>HYPERLINK("mailto:Diane.Kelsch@fda.hhs.gov","Diana Kelsch")</f>
        <v>Diana Kelsch</v>
      </c>
    </row>
    <row r="13" spans="1:15" ht="30" x14ac:dyDescent="0.25">
      <c r="A13" s="30" t="s">
        <v>310</v>
      </c>
      <c r="B13" s="23">
        <v>40702</v>
      </c>
      <c r="C13" s="24">
        <v>1</v>
      </c>
      <c r="D13" s="23">
        <v>40819</v>
      </c>
      <c r="E13" s="24" t="s">
        <v>311</v>
      </c>
      <c r="F13" s="24"/>
      <c r="G13" s="24"/>
      <c r="H13" s="24"/>
      <c r="I13" s="24"/>
      <c r="J13" s="24"/>
      <c r="K13" s="24"/>
      <c r="L13" s="24"/>
      <c r="M13" s="24"/>
      <c r="N13" s="25" t="str">
        <f>HYPERLINK("mailto:Stephen.Pilkenton-1@nasa.gov","Stephen Pilkenton")</f>
        <v>Stephen Pilkenton</v>
      </c>
      <c r="O13" s="26" t="str">
        <f>HYPERLINK("mailto:Diane.Kelsch@fda.hhs.gov","Diana Kelsch")</f>
        <v>Diana Kelsch</v>
      </c>
    </row>
  </sheetData>
  <pageMargins left="0.15" right="0.15" top="0.25" bottom="0.25" header="0.05" footer="0.05"/>
  <pageSetup orientation="landscape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8DD78-6322-4AA0-89ED-E73D1591D3F5}">
  <sheetPr>
    <pageSetUpPr fitToPage="1"/>
  </sheetPr>
  <dimension ref="A1:O119"/>
  <sheetViews>
    <sheetView workbookViewId="0"/>
  </sheetViews>
  <sheetFormatPr defaultRowHeight="15" x14ac:dyDescent="0.25"/>
  <cols>
    <col min="1" max="1" width="33.7109375" customWidth="1"/>
    <col min="2" max="2" width="14.85546875" customWidth="1"/>
    <col min="3" max="3" width="18.42578125" customWidth="1"/>
    <col min="4" max="4" width="22" customWidth="1"/>
    <col min="5" max="13" width="17.28515625" customWidth="1"/>
    <col min="14" max="14" width="14.85546875" customWidth="1"/>
    <col min="15" max="15" width="13.140625" customWidth="1"/>
  </cols>
  <sheetData>
    <row r="1" spans="1:15" x14ac:dyDescent="0.25">
      <c r="A1" t="s">
        <v>425</v>
      </c>
      <c r="B1" s="2" t="str">
        <f>HYPERLINK("#Introduction!A1","Back to Introduction Page")</f>
        <v>Back to Introduction Page</v>
      </c>
    </row>
    <row r="2" spans="1:15" x14ac:dyDescent="0.25">
      <c r="A2" s="21" t="s">
        <v>426</v>
      </c>
    </row>
    <row r="3" spans="1:15" ht="45" x14ac:dyDescent="0.25">
      <c r="A3" s="4" t="s">
        <v>15</v>
      </c>
      <c r="B3" s="3" t="s">
        <v>16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21</v>
      </c>
      <c r="H3" s="3" t="s">
        <v>22</v>
      </c>
      <c r="I3" s="3" t="s">
        <v>23</v>
      </c>
      <c r="J3" s="3" t="s">
        <v>24</v>
      </c>
      <c r="K3" s="3" t="s">
        <v>25</v>
      </c>
      <c r="L3" s="3" t="s">
        <v>26</v>
      </c>
      <c r="M3" s="3" t="s">
        <v>27</v>
      </c>
      <c r="N3" s="3" t="s">
        <v>28</v>
      </c>
      <c r="O3" s="5" t="s">
        <v>29</v>
      </c>
    </row>
    <row r="4" spans="1:15" ht="30" x14ac:dyDescent="0.25">
      <c r="A4" s="6" t="str">
        <f>HYPERLINK("http://www.sehdph.org/appling-county.htm","Appling County")</f>
        <v>Appling County</v>
      </c>
      <c r="B4" s="7">
        <v>41045</v>
      </c>
      <c r="C4" s="8">
        <v>1</v>
      </c>
      <c r="D4" s="7">
        <v>41353</v>
      </c>
      <c r="E4" s="8" t="s">
        <v>314</v>
      </c>
      <c r="F4" s="8"/>
      <c r="G4" s="8"/>
      <c r="H4" s="8"/>
      <c r="I4" s="8"/>
      <c r="J4" s="8"/>
      <c r="K4" s="8"/>
      <c r="L4" s="8"/>
      <c r="M4" s="8"/>
      <c r="N4" s="9" t="str">
        <f>HYPERLINK("mailto:Dwain.Butler@dph.ga.gov","Dwain Butler")</f>
        <v>Dwain Butler</v>
      </c>
      <c r="O4" s="10" t="str">
        <f>HYPERLINK("mailto:Chris.Smith@fda.hhs.gov","Christopher Smith")</f>
        <v>Christopher Smith</v>
      </c>
    </row>
    <row r="5" spans="1:15" ht="30" x14ac:dyDescent="0.25">
      <c r="A5" s="11" t="str">
        <f>HYPERLINK("http://www.sehdph.org/atkinson-county.htm","Atkinson County")</f>
        <v>Atkinson County</v>
      </c>
      <c r="B5" s="12">
        <v>40714</v>
      </c>
      <c r="C5" s="13">
        <v>1</v>
      </c>
      <c r="D5" s="12">
        <v>41467</v>
      </c>
      <c r="E5" s="13" t="s">
        <v>315</v>
      </c>
      <c r="F5" s="13"/>
      <c r="G5" s="13"/>
      <c r="H5" s="13"/>
      <c r="I5" s="13"/>
      <c r="J5" s="13"/>
      <c r="K5" s="13"/>
      <c r="L5" s="13"/>
      <c r="M5" s="13"/>
      <c r="N5" s="14" t="str">
        <f>HYPERLINK("mailto:Dwain.Butler@dph.ga.gov","Dwain Butler")</f>
        <v>Dwain Butler</v>
      </c>
      <c r="O5" s="15" t="str">
        <f>HYPERLINK("mailto:Chris.Smith@fda.hhs.gov","Christopher Smith")</f>
        <v>Christopher Smith</v>
      </c>
    </row>
    <row r="6" spans="1:15" ht="30" x14ac:dyDescent="0.25">
      <c r="A6" s="6" t="str">
        <f>HYPERLINK("http://northcentralhealthdistrict.org/department/baldwin-county-health-department/","Baldwin County Health Department")</f>
        <v>Baldwin County Health Department</v>
      </c>
      <c r="B6" s="7">
        <v>42295</v>
      </c>
      <c r="C6" s="8">
        <v>1</v>
      </c>
      <c r="D6" s="7">
        <v>42781</v>
      </c>
      <c r="E6" s="8" t="s">
        <v>316</v>
      </c>
      <c r="F6" s="8"/>
      <c r="G6" s="8"/>
      <c r="H6" s="8"/>
      <c r="I6" s="8"/>
      <c r="J6" s="8"/>
      <c r="K6" s="8"/>
      <c r="L6" s="8"/>
      <c r="M6" s="8"/>
      <c r="N6" s="9" t="str">
        <f>HYPERLINK("mailto:Tom.Baird@dph.ga.gov","Tom Baird")</f>
        <v>Tom Baird</v>
      </c>
      <c r="O6" s="10" t="str">
        <f>HYPERLINK("mailto:Chris.Smith@fda.hhs.gov","Christopher Smith")</f>
        <v>Christopher Smith</v>
      </c>
    </row>
    <row r="7" spans="1:15" ht="30" x14ac:dyDescent="0.25">
      <c r="A7" s="11" t="str">
        <f>HYPERLINK("http://www.publichealthathens.com/","Barrow County Environmental Health")</f>
        <v>Barrow County Environmental Health</v>
      </c>
      <c r="B7" s="12">
        <v>41046</v>
      </c>
      <c r="C7" s="13">
        <v>1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4" t="str">
        <f>HYPERLINK("mailto:keli.hinson@dph.ga.gov","Keli Hinson")</f>
        <v>Keli Hinson</v>
      </c>
      <c r="O7" s="15" t="str">
        <f>HYPERLINK("mailto:Chris.Smith@fda.hhs.gov","Christopher Smith")</f>
        <v>Christopher Smith</v>
      </c>
    </row>
    <row r="8" spans="1:15" ht="30" x14ac:dyDescent="0.25">
      <c r="A8" s="6" t="str">
        <f>HYPERLINK("http://www.nwgapublichealth.org/env/index.htm","Bartow County")</f>
        <v>Bartow County</v>
      </c>
      <c r="B8" s="7">
        <v>40722</v>
      </c>
      <c r="C8" s="8">
        <v>1</v>
      </c>
      <c r="D8" s="7">
        <v>41040</v>
      </c>
      <c r="E8" s="8" t="s">
        <v>317</v>
      </c>
      <c r="F8" s="8"/>
      <c r="G8" s="8"/>
      <c r="H8" s="8"/>
      <c r="I8" s="8"/>
      <c r="J8" s="8"/>
      <c r="K8" s="8"/>
      <c r="L8" s="8"/>
      <c r="M8" s="8"/>
      <c r="N8" s="9" t="str">
        <f>HYPERLINK("mailto:Tim.Allee@dph.ga.gov","Timothy Allee")</f>
        <v>Timothy Allee</v>
      </c>
      <c r="O8" s="10" t="str">
        <f>HYPERLINK("mailto:Chris.Smith@fda.hhs.gov","Christopher Smith")</f>
        <v>Christopher Smith</v>
      </c>
    </row>
    <row r="9" spans="1:15" ht="30" x14ac:dyDescent="0.25">
      <c r="A9" s="6" t="str">
        <f>HYPERLINK("http://www.nwgapublichealth.org/env/index.htm","Bartow County")</f>
        <v>Bartow County</v>
      </c>
      <c r="B9" s="7">
        <v>40722</v>
      </c>
      <c r="C9" s="8">
        <v>2</v>
      </c>
      <c r="D9" s="7">
        <v>42789</v>
      </c>
      <c r="E9" s="8" t="s">
        <v>318</v>
      </c>
      <c r="F9" s="8"/>
      <c r="G9" s="8" t="s">
        <v>319</v>
      </c>
      <c r="H9" s="8"/>
      <c r="I9" s="8"/>
      <c r="J9" s="8"/>
      <c r="K9" s="8" t="s">
        <v>320</v>
      </c>
      <c r="L9" s="8"/>
      <c r="M9" s="8"/>
      <c r="N9" s="9" t="str">
        <f>HYPERLINK("mailto:Clay.Tracy@dph.ga.gov","Clay Tracy")</f>
        <v>Clay Tracy</v>
      </c>
      <c r="O9" s="10" t="str">
        <f>HYPERLINK("mailto:Chris.Smith@fda.hhs.gov","Christopher Smith")</f>
        <v>Christopher Smith</v>
      </c>
    </row>
    <row r="10" spans="1:15" ht="30" x14ac:dyDescent="0.25">
      <c r="A10" s="11" t="str">
        <f>HYPERLINK("http://www.southhealthdistrict.com/county-health-departments/ben-hill-county/","Ben Hill County Health Department")</f>
        <v>Ben Hill County Health Department</v>
      </c>
      <c r="B10" s="12">
        <v>39160</v>
      </c>
      <c r="C10" s="13">
        <v>1</v>
      </c>
      <c r="D10" s="12">
        <v>39687</v>
      </c>
      <c r="E10" s="13" t="s">
        <v>321</v>
      </c>
      <c r="F10" s="13"/>
      <c r="G10" s="13"/>
      <c r="H10" s="13"/>
      <c r="I10" s="13"/>
      <c r="J10" s="13"/>
      <c r="K10" s="13"/>
      <c r="L10" s="13"/>
      <c r="M10" s="13"/>
      <c r="N10" s="14" t="str">
        <f>HYPERLINK("mailto:Wen.Howell@dph.ga.gov","Wen Howell")</f>
        <v>Wen Howell</v>
      </c>
      <c r="O10" s="15" t="str">
        <f>HYPERLINK("mailto:Chris.Smith@fda.hhs.gov","Christopher Smith")</f>
        <v>Christopher Smith</v>
      </c>
    </row>
    <row r="11" spans="1:15" ht="30" x14ac:dyDescent="0.25">
      <c r="A11" s="6" t="str">
        <f>HYPERLINK("http://www.southhealthdistrict.com/","Berrien County Health Department")</f>
        <v>Berrien County Health Department</v>
      </c>
      <c r="B11" s="7">
        <v>38953</v>
      </c>
      <c r="C11" s="8">
        <v>1</v>
      </c>
      <c r="D11" s="7">
        <v>39160</v>
      </c>
      <c r="E11" s="8" t="s">
        <v>322</v>
      </c>
      <c r="F11" s="8"/>
      <c r="G11" s="8" t="s">
        <v>322</v>
      </c>
      <c r="H11" s="8"/>
      <c r="I11" s="8"/>
      <c r="J11" s="8"/>
      <c r="K11" s="8"/>
      <c r="L11" s="8"/>
      <c r="M11" s="8"/>
      <c r="N11" s="8" t="s">
        <v>323</v>
      </c>
      <c r="O11" s="10" t="str">
        <f>HYPERLINK("mailto:Chris.Smith@fda.hhs.gov","Christopher Smith")</f>
        <v>Christopher Smith</v>
      </c>
    </row>
    <row r="12" spans="1:15" ht="30" x14ac:dyDescent="0.25">
      <c r="A12" s="11" t="str">
        <f>HYPERLINK("http://www.sehdph.org/brantley-county.htm","Brantley County Health Department")</f>
        <v>Brantley County Health Department</v>
      </c>
      <c r="B12" s="12">
        <v>41041</v>
      </c>
      <c r="C12" s="13">
        <v>1</v>
      </c>
      <c r="D12" s="12">
        <v>41339</v>
      </c>
      <c r="E12" s="13" t="s">
        <v>324</v>
      </c>
      <c r="F12" s="13"/>
      <c r="G12" s="13"/>
      <c r="H12" s="13"/>
      <c r="I12" s="13"/>
      <c r="J12" s="13"/>
      <c r="K12" s="13"/>
      <c r="L12" s="13"/>
      <c r="M12" s="13"/>
      <c r="N12" s="14" t="str">
        <f>HYPERLINK("mailto:Dwain.Butler@dph.ga.gov","Dwain Butler")</f>
        <v>Dwain Butler</v>
      </c>
      <c r="O12" s="15" t="str">
        <f>HYPERLINK("mailto:Chris.Smith@fda.hhs.gov","Christopher Smith")</f>
        <v>Christopher Smith</v>
      </c>
    </row>
    <row r="13" spans="1:15" ht="30" x14ac:dyDescent="0.25">
      <c r="A13" s="6" t="str">
        <f>HYPERLINK("http://www.southhealthdistrict.com/","Brooks County Health Department")</f>
        <v>Brooks County Health Department</v>
      </c>
      <c r="B13" s="7">
        <v>39160</v>
      </c>
      <c r="C13" s="8">
        <v>1</v>
      </c>
      <c r="D13" s="7">
        <v>39687</v>
      </c>
      <c r="E13" s="8" t="s">
        <v>321</v>
      </c>
      <c r="F13" s="8"/>
      <c r="G13" s="8" t="s">
        <v>321</v>
      </c>
      <c r="H13" s="8"/>
      <c r="I13" s="8"/>
      <c r="J13" s="8"/>
      <c r="K13" s="8"/>
      <c r="L13" s="8"/>
      <c r="M13" s="8"/>
      <c r="N13" s="8" t="s">
        <v>325</v>
      </c>
      <c r="O13" s="10" t="str">
        <f>HYPERLINK("mailto:Chris.Smith@fda.hhs.gov","Christopher Smith")</f>
        <v>Christopher Smith</v>
      </c>
    </row>
    <row r="14" spans="1:15" ht="30" x14ac:dyDescent="0.25">
      <c r="A14" s="11" t="str">
        <f>HYPERLINK("http://www.gachd.org/","Bryan County Health Department")</f>
        <v>Bryan County Health Department</v>
      </c>
      <c r="B14" s="12">
        <v>38953</v>
      </c>
      <c r="C14" s="13">
        <v>1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 t="s">
        <v>326</v>
      </c>
      <c r="O14" s="15" t="str">
        <f>HYPERLINK("mailto:Chris.Smith@fda.hhs.gov","Christopher Smith")</f>
        <v>Christopher Smith</v>
      </c>
    </row>
    <row r="15" spans="1:15" ht="30" x14ac:dyDescent="0.25">
      <c r="A15" s="6" t="str">
        <f>HYPERLINK("http://www.sehdph.org/environmental.htm","Bulloch County Health Department")</f>
        <v>Bulloch County Health Department</v>
      </c>
      <c r="B15" s="7">
        <v>40702</v>
      </c>
      <c r="C15" s="8">
        <v>1</v>
      </c>
      <c r="D15" s="7">
        <v>41036</v>
      </c>
      <c r="E15" s="8" t="s">
        <v>327</v>
      </c>
      <c r="F15" s="8"/>
      <c r="G15" s="8"/>
      <c r="H15" s="8"/>
      <c r="I15" s="8"/>
      <c r="J15" s="8"/>
      <c r="K15" s="8"/>
      <c r="L15" s="8"/>
      <c r="M15" s="8"/>
      <c r="N15" s="8" t="s">
        <v>328</v>
      </c>
      <c r="O15" s="10" t="str">
        <f>HYPERLINK("mailto:Chris.Smith@fda.hhs.gov","Christopher Smith")</f>
        <v>Christopher Smith</v>
      </c>
    </row>
    <row r="16" spans="1:15" ht="30" x14ac:dyDescent="0.25">
      <c r="A16" s="29" t="s">
        <v>329</v>
      </c>
      <c r="B16" s="12">
        <v>40312</v>
      </c>
      <c r="C16" s="13">
        <v>1</v>
      </c>
      <c r="D16" s="12">
        <v>40453</v>
      </c>
      <c r="E16" s="13" t="s">
        <v>330</v>
      </c>
      <c r="F16" s="13"/>
      <c r="G16" s="13" t="s">
        <v>331</v>
      </c>
      <c r="H16" s="13"/>
      <c r="I16" s="13"/>
      <c r="J16" s="13"/>
      <c r="K16" s="13"/>
      <c r="L16" s="13"/>
      <c r="M16" s="13"/>
      <c r="N16" s="13" t="s">
        <v>332</v>
      </c>
      <c r="O16" s="15" t="str">
        <f>HYPERLINK("mailto:Chris.Smith@fda.hhs.gov","Christopher Smith")</f>
        <v>Christopher Smith</v>
      </c>
    </row>
    <row r="17" spans="1:15" ht="30" x14ac:dyDescent="0.25">
      <c r="A17" s="28" t="s">
        <v>333</v>
      </c>
      <c r="B17" s="7">
        <v>38953</v>
      </c>
      <c r="C17" s="8">
        <v>1</v>
      </c>
      <c r="D17" s="7">
        <v>40175</v>
      </c>
      <c r="E17" s="8"/>
      <c r="F17" s="8"/>
      <c r="G17" s="8" t="s">
        <v>334</v>
      </c>
      <c r="H17" s="8"/>
      <c r="I17" s="8"/>
      <c r="J17" s="8"/>
      <c r="K17" s="8"/>
      <c r="L17" s="8"/>
      <c r="M17" s="8"/>
      <c r="N17" s="9" t="str">
        <f>HYPERLINK("mailto:terry.ferrell@dph.ga.gov","Terry Ferrell")</f>
        <v>Terry Ferrell</v>
      </c>
      <c r="O17" s="10" t="str">
        <f>HYPERLINK("mailto:Chris.Smith@fda.hhs.gov","Christopher Smith")</f>
        <v>Christopher Smith</v>
      </c>
    </row>
    <row r="18" spans="1:15" ht="30" x14ac:dyDescent="0.25">
      <c r="A18" s="11" t="str">
        <f>HYPERLINK("http://www.sehdph.org/environmental.htrn","Candler County Health Department")</f>
        <v>Candler County Health Department</v>
      </c>
      <c r="B18" s="12">
        <v>40704</v>
      </c>
      <c r="C18" s="13">
        <v>1</v>
      </c>
      <c r="D18" s="12">
        <v>41451</v>
      </c>
      <c r="E18" s="13" t="s">
        <v>335</v>
      </c>
      <c r="F18" s="13"/>
      <c r="G18" s="13"/>
      <c r="H18" s="13"/>
      <c r="I18" s="13"/>
      <c r="J18" s="13"/>
      <c r="K18" s="13"/>
      <c r="L18" s="13"/>
      <c r="M18" s="13"/>
      <c r="N18" s="14" t="str">
        <f>HYPERLINK("mailto:kmanderson@dhr.state.ga.us","Karen Anderson")</f>
        <v>Karen Anderson</v>
      </c>
      <c r="O18" s="15" t="str">
        <f>HYPERLINK("mailto:Chris.Smith@fda.hhs.gov","Christopher Smith")</f>
        <v>Christopher Smith</v>
      </c>
    </row>
    <row r="19" spans="1:15" ht="30" x14ac:dyDescent="0.25">
      <c r="A19" s="28" t="s">
        <v>336</v>
      </c>
      <c r="B19" s="7">
        <v>38250</v>
      </c>
      <c r="C19" s="8">
        <v>1</v>
      </c>
      <c r="D19" s="7">
        <v>38749</v>
      </c>
      <c r="E19" s="8" t="s">
        <v>337</v>
      </c>
      <c r="F19" s="8"/>
      <c r="G19" s="8"/>
      <c r="H19" s="8"/>
      <c r="I19" s="8"/>
      <c r="J19" s="8"/>
      <c r="K19" s="8" t="s">
        <v>337</v>
      </c>
      <c r="L19" s="8"/>
      <c r="M19" s="8"/>
      <c r="N19" s="8" t="s">
        <v>338</v>
      </c>
      <c r="O19" s="10" t="str">
        <f>HYPERLINK("mailto:Chris.Smith@fda.hhs.gov","Christopher Smith")</f>
        <v>Christopher Smith</v>
      </c>
    </row>
    <row r="20" spans="1:15" ht="30" x14ac:dyDescent="0.25">
      <c r="A20" s="11" t="str">
        <f>HYPERLINK("http://www.nwgapublichealth.org/env/index.htm","Catoosa County")</f>
        <v>Catoosa County</v>
      </c>
      <c r="B20" s="12">
        <v>40722</v>
      </c>
      <c r="C20" s="13">
        <v>1</v>
      </c>
      <c r="D20" s="12">
        <v>41040</v>
      </c>
      <c r="E20" s="13" t="s">
        <v>317</v>
      </c>
      <c r="F20" s="13"/>
      <c r="G20" s="13"/>
      <c r="H20" s="13"/>
      <c r="I20" s="13"/>
      <c r="J20" s="13"/>
      <c r="K20" s="13"/>
      <c r="L20" s="13"/>
      <c r="M20" s="13"/>
      <c r="N20" s="14" t="str">
        <f>HYPERLINK("mailto:Tim.Allee@dph.ga.gov","Timothy Allee")</f>
        <v>Timothy Allee</v>
      </c>
      <c r="O20" s="15" t="str">
        <f>HYPERLINK("mailto:Chris.Smith@fda.hhs.gov","Christopher Smith")</f>
        <v>Christopher Smith</v>
      </c>
    </row>
    <row r="21" spans="1:15" ht="30" x14ac:dyDescent="0.25">
      <c r="A21" s="11" t="str">
        <f>HYPERLINK("http://www.nwgapublichealth.org/env/index.htm","Catoosa County")</f>
        <v>Catoosa County</v>
      </c>
      <c r="B21" s="12">
        <v>40722</v>
      </c>
      <c r="C21" s="13">
        <v>2</v>
      </c>
      <c r="D21" s="12">
        <v>42789</v>
      </c>
      <c r="E21" s="13" t="s">
        <v>318</v>
      </c>
      <c r="F21" s="13"/>
      <c r="G21" s="13" t="s">
        <v>319</v>
      </c>
      <c r="H21" s="13"/>
      <c r="I21" s="13"/>
      <c r="J21" s="13"/>
      <c r="K21" s="13" t="s">
        <v>320</v>
      </c>
      <c r="L21" s="13"/>
      <c r="M21" s="13"/>
      <c r="N21" s="14" t="str">
        <f>HYPERLINK("mailto:clay.tracy@dph.ga.gov","Clay Tracy")</f>
        <v>Clay Tracy</v>
      </c>
      <c r="O21" s="15" t="str">
        <f>HYPERLINK("mailto:Chris.Smith@fda.hhs.gov","Christopher Smith")</f>
        <v>Christopher Smith</v>
      </c>
    </row>
    <row r="22" spans="1:15" ht="30" x14ac:dyDescent="0.25">
      <c r="A22" s="6" t="str">
        <f>HYPERLINK("http://www.chathamnc.org/","Chatham County Environmental Health")</f>
        <v>Chatham County Environmental Health</v>
      </c>
      <c r="B22" s="7">
        <v>41471</v>
      </c>
      <c r="C22" s="8">
        <v>1</v>
      </c>
      <c r="D22" s="7">
        <v>38027</v>
      </c>
      <c r="E22" s="8" t="s">
        <v>339</v>
      </c>
      <c r="F22" s="8"/>
      <c r="G22" s="8"/>
      <c r="H22" s="8"/>
      <c r="I22" s="8"/>
      <c r="J22" s="8"/>
      <c r="K22" s="8" t="s">
        <v>340</v>
      </c>
      <c r="L22" s="8"/>
      <c r="M22" s="8"/>
      <c r="N22" s="8" t="s">
        <v>341</v>
      </c>
      <c r="O22" s="10" t="str">
        <f>HYPERLINK("mailto:Chris.Smith@fda.hhs.gov","Christopher Smith")</f>
        <v>Christopher Smith</v>
      </c>
    </row>
    <row r="23" spans="1:15" ht="30" x14ac:dyDescent="0.25">
      <c r="A23" s="11" t="str">
        <f>HYPERLINK("http://www.nwgapublichealth.org/env/index.htm","Chattooga County Health Department")</f>
        <v>Chattooga County Health Department</v>
      </c>
      <c r="B23" s="12">
        <v>40722</v>
      </c>
      <c r="C23" s="13">
        <v>1</v>
      </c>
      <c r="D23" s="12">
        <v>41040</v>
      </c>
      <c r="E23" s="13" t="s">
        <v>317</v>
      </c>
      <c r="F23" s="13"/>
      <c r="G23" s="13"/>
      <c r="H23" s="13"/>
      <c r="I23" s="13"/>
      <c r="J23" s="13"/>
      <c r="K23" s="13"/>
      <c r="L23" s="13"/>
      <c r="M23" s="13"/>
      <c r="N23" s="14" t="str">
        <f>HYPERLINK("mailto:Tim.Allee@dph.ga.gov","Timothy Allee")</f>
        <v>Timothy Allee</v>
      </c>
      <c r="O23" s="15" t="str">
        <f>HYPERLINK("mailto:Chris.Smith@fda.hhs.gov","Christopher Smith")</f>
        <v>Christopher Smith</v>
      </c>
    </row>
    <row r="24" spans="1:15" ht="30" x14ac:dyDescent="0.25">
      <c r="A24" s="11" t="str">
        <f>HYPERLINK("http://www.nwgapublichealth.org/env/index.htm","Chattooga County Health Department")</f>
        <v>Chattooga County Health Department</v>
      </c>
      <c r="B24" s="12">
        <v>40722</v>
      </c>
      <c r="C24" s="13">
        <v>2</v>
      </c>
      <c r="D24" s="12">
        <v>42789</v>
      </c>
      <c r="E24" s="13" t="s">
        <v>318</v>
      </c>
      <c r="F24" s="13"/>
      <c r="G24" s="13" t="s">
        <v>319</v>
      </c>
      <c r="H24" s="13"/>
      <c r="I24" s="13"/>
      <c r="J24" s="13"/>
      <c r="K24" s="13" t="s">
        <v>320</v>
      </c>
      <c r="L24" s="13"/>
      <c r="M24" s="13"/>
      <c r="N24" s="14" t="str">
        <f>HYPERLINK("mailto:clay.tracy@dph.ga.gov","Clay Tracy")</f>
        <v>Clay Tracy</v>
      </c>
      <c r="O24" s="15" t="str">
        <f>HYPERLINK("mailto:Chris.Smith@fda.hhs.gov","Christopher Smith")</f>
        <v>Christopher Smith</v>
      </c>
    </row>
    <row r="25" spans="1:15" ht="30" x14ac:dyDescent="0.25">
      <c r="A25" s="6" t="str">
        <f>HYPERLINK("http://www.nwgapublichealth.org/env/index.htm","Cherokee County")</f>
        <v>Cherokee County</v>
      </c>
      <c r="B25" s="7">
        <v>41456</v>
      </c>
      <c r="C25" s="8">
        <v>1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9" t="str">
        <f>HYPERLINK("mailto:Amy.Grice@dph.ga.gov","Amy Grice")</f>
        <v>Amy Grice</v>
      </c>
      <c r="O25" s="10" t="str">
        <f>HYPERLINK("mailto:Chris.Smith@fda.hhs.gov","Christopher Smith")</f>
        <v>Christopher Smith</v>
      </c>
    </row>
    <row r="26" spans="1:15" ht="30" x14ac:dyDescent="0.25">
      <c r="A26" s="11" t="str">
        <f>HYPERLINK("http://www.publichealthathens.com/","Clarke County Environmental Health")</f>
        <v>Clarke County Environmental Health</v>
      </c>
      <c r="B26" s="12">
        <v>41046</v>
      </c>
      <c r="C26" s="13">
        <v>1</v>
      </c>
      <c r="D26" s="12">
        <v>41424</v>
      </c>
      <c r="E26" s="13" t="s">
        <v>342</v>
      </c>
      <c r="F26" s="13"/>
      <c r="G26" s="13"/>
      <c r="H26" s="13"/>
      <c r="I26" s="13"/>
      <c r="J26" s="13"/>
      <c r="K26" s="13"/>
      <c r="L26" s="13"/>
      <c r="M26" s="13"/>
      <c r="N26" s="14" t="str">
        <f>HYPERLINK("mailto:keli.hinson@dph.ga.gov","Keli Hinson")</f>
        <v>Keli Hinson</v>
      </c>
      <c r="O26" s="15" t="str">
        <f>HYPERLINK("mailto:Chris.Smith@fda.hhs.gov","Christopher Smith")</f>
        <v>Christopher Smith</v>
      </c>
    </row>
    <row r="27" spans="1:15" ht="30" x14ac:dyDescent="0.25">
      <c r="A27" s="6" t="str">
        <f>HYPERLINK("http://www.claytoncountypublichealth.org/","Clayton County Environmental Health")</f>
        <v>Clayton County Environmental Health</v>
      </c>
      <c r="B27" s="7">
        <v>38802</v>
      </c>
      <c r="C27" s="8">
        <v>1</v>
      </c>
      <c r="D27" s="7">
        <v>38779</v>
      </c>
      <c r="E27" s="8"/>
      <c r="F27" s="8"/>
      <c r="G27" s="8"/>
      <c r="H27" s="8"/>
      <c r="I27" s="8"/>
      <c r="J27" s="8"/>
      <c r="K27" s="8" t="s">
        <v>343</v>
      </c>
      <c r="L27" s="8"/>
      <c r="M27" s="8"/>
      <c r="N27" s="9" t="str">
        <f>HYPERLINK("mailto:Angie.Davis@dph.ga.gov","Angie Davis")</f>
        <v>Angie Davis</v>
      </c>
      <c r="O27" s="10" t="str">
        <f>HYPERLINK("mailto:Chris.Smith@fda.hhs.gov","Christopher Smith")</f>
        <v>Christopher Smith</v>
      </c>
    </row>
    <row r="28" spans="1:15" ht="30" x14ac:dyDescent="0.25">
      <c r="A28" s="6" t="str">
        <f>HYPERLINK("http://www.claytoncountypublichealth.org/","Clayton County Environmental Health")</f>
        <v>Clayton County Environmental Health</v>
      </c>
      <c r="B28" s="7">
        <v>38802</v>
      </c>
      <c r="C28" s="8">
        <v>2</v>
      </c>
      <c r="D28" s="7">
        <v>43122</v>
      </c>
      <c r="E28" s="8" t="s">
        <v>344</v>
      </c>
      <c r="F28" s="8"/>
      <c r="G28" s="8"/>
      <c r="H28" s="8"/>
      <c r="I28" s="8"/>
      <c r="J28" s="8"/>
      <c r="K28" s="8" t="s">
        <v>345</v>
      </c>
      <c r="L28" s="8"/>
      <c r="M28" s="8"/>
      <c r="N28" s="9" t="str">
        <f>HYPERLINK("mailto:Angie.Davis@dph.ga.gov","Angie Davis")</f>
        <v>Angie Davis</v>
      </c>
      <c r="O28" s="10" t="str">
        <f>HYPERLINK("mailto:Chris.Smith@fda.hhs.gov","Christopher Smith")</f>
        <v>Christopher Smith</v>
      </c>
    </row>
    <row r="29" spans="1:15" ht="30" x14ac:dyDescent="0.25">
      <c r="A29" s="11" t="str">
        <f>HYPERLINK("http://www.sehdph.org/clinch-county.htm","Clinch County")</f>
        <v>Clinch County</v>
      </c>
      <c r="B29" s="12">
        <v>41050</v>
      </c>
      <c r="C29" s="13">
        <v>1</v>
      </c>
      <c r="D29" s="12">
        <v>41471</v>
      </c>
      <c r="E29" s="13" t="s">
        <v>346</v>
      </c>
      <c r="F29" s="13"/>
      <c r="G29" s="13"/>
      <c r="H29" s="13"/>
      <c r="I29" s="13"/>
      <c r="J29" s="13"/>
      <c r="K29" s="13"/>
      <c r="L29" s="13"/>
      <c r="M29" s="13"/>
      <c r="N29" s="14" t="str">
        <f>HYPERLINK("mailto:Dwain.Butler@dph.ga.gov","Dwain Butler")</f>
        <v>Dwain Butler</v>
      </c>
      <c r="O29" s="15" t="str">
        <f>HYPERLINK("mailto:Chris.Smith@fda.hhs.gov","Christopher Smith")</f>
        <v>Christopher Smith</v>
      </c>
    </row>
    <row r="30" spans="1:15" ht="30" x14ac:dyDescent="0.25">
      <c r="A30" s="6" t="str">
        <f>HYPERLINK("http://www.cobbanddouglaspublichealth.org/","Cobb &amp; Douglas Public Health (District (3-1)")</f>
        <v>Cobb &amp; Douglas Public Health (District (3-1)</v>
      </c>
      <c r="B30" s="7">
        <v>38272</v>
      </c>
      <c r="C30" s="8">
        <v>1</v>
      </c>
      <c r="D30" s="7">
        <v>38749</v>
      </c>
      <c r="E30" s="8" t="s">
        <v>347</v>
      </c>
      <c r="F30" s="8"/>
      <c r="G30" s="8"/>
      <c r="H30" s="8"/>
      <c r="I30" s="8"/>
      <c r="J30" s="8"/>
      <c r="K30" s="8" t="s">
        <v>348</v>
      </c>
      <c r="L30" s="8"/>
      <c r="M30" s="8"/>
      <c r="N30" s="8" t="s">
        <v>349</v>
      </c>
      <c r="O30" s="10" t="str">
        <f>HYPERLINK("mailto:Joseph.Redditt@fda.hhs.gov","Dan Redditt")</f>
        <v>Dan Redditt</v>
      </c>
    </row>
    <row r="31" spans="1:15" ht="30" x14ac:dyDescent="0.25">
      <c r="A31" s="6" t="str">
        <f>HYPERLINK("http://www.cobbanddouglaspublichealth.org/","Cobb &amp; Douglas Public Health (District (3-1)")</f>
        <v>Cobb &amp; Douglas Public Health (District (3-1)</v>
      </c>
      <c r="B31" s="7">
        <v>38272</v>
      </c>
      <c r="C31" s="8">
        <v>2</v>
      </c>
      <c r="D31" s="7">
        <v>42247</v>
      </c>
      <c r="E31" s="8" t="s">
        <v>350</v>
      </c>
      <c r="F31" s="8"/>
      <c r="G31" s="8" t="s">
        <v>351</v>
      </c>
      <c r="H31" s="8"/>
      <c r="I31" s="8" t="s">
        <v>352</v>
      </c>
      <c r="J31" s="8"/>
      <c r="K31" s="8" t="s">
        <v>353</v>
      </c>
      <c r="L31" s="8"/>
      <c r="M31" s="8" t="s">
        <v>354</v>
      </c>
      <c r="N31" s="8" t="s">
        <v>349</v>
      </c>
      <c r="O31" s="10" t="str">
        <f>HYPERLINK("mailto:Joseph.Redditt@fda.hhs.gov","Dan Redditt")</f>
        <v>Dan Redditt</v>
      </c>
    </row>
    <row r="32" spans="1:15" ht="30" x14ac:dyDescent="0.25">
      <c r="A32" s="11" t="str">
        <f>HYPERLINK("http://www.ecphd.com/","Columbia County Health Department")</f>
        <v>Columbia County Health Department</v>
      </c>
      <c r="B32" s="12">
        <v>41889</v>
      </c>
      <c r="C32" s="13">
        <v>1</v>
      </c>
      <c r="D32" s="12">
        <v>42786</v>
      </c>
      <c r="E32" s="13" t="s">
        <v>355</v>
      </c>
      <c r="F32" s="13"/>
      <c r="G32" s="13"/>
      <c r="H32" s="13"/>
      <c r="I32" s="13"/>
      <c r="J32" s="13"/>
      <c r="K32" s="13"/>
      <c r="L32" s="13"/>
      <c r="M32" s="13"/>
      <c r="N32" s="14" t="str">
        <f>HYPERLINK("mailto:Andrea.Frazier@dph.ga.gov","Andrea Frazier")</f>
        <v>Andrea Frazier</v>
      </c>
      <c r="O32" s="15" t="str">
        <f>HYPERLINK("mailto:Chris.Smith@fda.hhs.gov","Christopher Smith")</f>
        <v>Christopher Smith</v>
      </c>
    </row>
    <row r="33" spans="1:15" ht="30" x14ac:dyDescent="0.25">
      <c r="A33" s="6" t="str">
        <f>HYPERLINK("http://www.southhealthdistrict.com/","Cook County Health Department")</f>
        <v>Cook County Health Department</v>
      </c>
      <c r="B33" s="7">
        <v>38953</v>
      </c>
      <c r="C33" s="8">
        <v>1</v>
      </c>
      <c r="D33" s="7">
        <v>39687</v>
      </c>
      <c r="E33" s="8" t="s">
        <v>321</v>
      </c>
      <c r="F33" s="8"/>
      <c r="G33" s="8" t="s">
        <v>321</v>
      </c>
      <c r="H33" s="8"/>
      <c r="I33" s="8"/>
      <c r="J33" s="8"/>
      <c r="K33" s="8"/>
      <c r="L33" s="8"/>
      <c r="M33" s="8"/>
      <c r="N33" s="8" t="s">
        <v>356</v>
      </c>
      <c r="O33" s="10" t="str">
        <f>HYPERLINK("mailto:Chris.Smith@fda.hhs.gov","Christopher Smith")</f>
        <v>Christopher Smith</v>
      </c>
    </row>
    <row r="34" spans="1:15" ht="30" x14ac:dyDescent="0.25">
      <c r="A34" s="11" t="str">
        <f>HYPERLINK("http://www.coweta.ga.us/index.aspx?page=161","Coweta County Health Department")</f>
        <v>Coweta County Health Department</v>
      </c>
      <c r="B34" s="12">
        <v>38252</v>
      </c>
      <c r="C34" s="13">
        <v>1</v>
      </c>
      <c r="D34" s="12">
        <v>38393</v>
      </c>
      <c r="E34" s="13" t="s">
        <v>357</v>
      </c>
      <c r="F34" s="13"/>
      <c r="G34" s="13"/>
      <c r="H34" s="13"/>
      <c r="I34" s="13"/>
      <c r="J34" s="13"/>
      <c r="K34" s="13" t="s">
        <v>358</v>
      </c>
      <c r="L34" s="13"/>
      <c r="M34" s="13"/>
      <c r="N34" s="13" t="s">
        <v>359</v>
      </c>
      <c r="O34" s="15" t="str">
        <f>HYPERLINK("mailto:Chris.Smith@fda.hhs.gov","Christopher Smith")</f>
        <v>Christopher Smith</v>
      </c>
    </row>
    <row r="35" spans="1:15" ht="30" x14ac:dyDescent="0.25">
      <c r="A35" s="6" t="str">
        <f>HYPERLINK("http://northcentralhealthdistrict.org/department/crawford-county-health-department/","Crawford County Health Department")</f>
        <v>Crawford County Health Department</v>
      </c>
      <c r="B35" s="7">
        <v>42295</v>
      </c>
      <c r="C35" s="8">
        <v>1</v>
      </c>
      <c r="D35" s="7">
        <v>42780</v>
      </c>
      <c r="E35" s="8" t="s">
        <v>316</v>
      </c>
      <c r="F35" s="8"/>
      <c r="G35" s="8"/>
      <c r="H35" s="8"/>
      <c r="I35" s="8"/>
      <c r="J35" s="8"/>
      <c r="K35" s="8"/>
      <c r="L35" s="8"/>
      <c r="M35" s="8"/>
      <c r="N35" s="9" t="str">
        <f>HYPERLINK("mailto:Tom.Baird@dph.ga.gov","Tom Baird")</f>
        <v>Tom Baird</v>
      </c>
      <c r="O35" s="10" t="str">
        <f>HYPERLINK("mailto:Chris.Smith@fda.hhs.gov","Christopher Smith")</f>
        <v>Christopher Smith</v>
      </c>
    </row>
    <row r="36" spans="1:15" ht="30" x14ac:dyDescent="0.25">
      <c r="A36" s="11" t="str">
        <f>HYPERLINK("https://nwgapublichealth.org/counties/dade/","Dade County Health Department")</f>
        <v>Dade County Health Department</v>
      </c>
      <c r="B36" s="12">
        <v>40782</v>
      </c>
      <c r="C36" s="13">
        <v>1</v>
      </c>
      <c r="D36" s="12">
        <v>41040</v>
      </c>
      <c r="E36" s="13" t="s">
        <v>317</v>
      </c>
      <c r="F36" s="13"/>
      <c r="G36" s="13"/>
      <c r="H36" s="13"/>
      <c r="I36" s="13"/>
      <c r="J36" s="13"/>
      <c r="K36" s="13"/>
      <c r="L36" s="13"/>
      <c r="M36" s="13"/>
      <c r="N36" s="14" t="str">
        <f>HYPERLINK("mailto:Tim.Allee@dph.ga.gov","Timothy Allee")</f>
        <v>Timothy Allee</v>
      </c>
      <c r="O36" s="15" t="str">
        <f>HYPERLINK("mailto:Chris.Smith@fda.hhs.gov","Christopher Smith")</f>
        <v>Christopher Smith</v>
      </c>
    </row>
    <row r="37" spans="1:15" ht="30" x14ac:dyDescent="0.25">
      <c r="A37" s="11" t="str">
        <f>HYPERLINK("https://nwgapublichealth.org/counties/dade/","Dade County Health Department")</f>
        <v>Dade County Health Department</v>
      </c>
      <c r="B37" s="12">
        <v>40783</v>
      </c>
      <c r="C37" s="13">
        <v>2</v>
      </c>
      <c r="D37" s="12">
        <v>42789</v>
      </c>
      <c r="E37" s="13" t="s">
        <v>318</v>
      </c>
      <c r="F37" s="13"/>
      <c r="G37" s="13" t="s">
        <v>319</v>
      </c>
      <c r="H37" s="13"/>
      <c r="I37" s="13"/>
      <c r="J37" s="13"/>
      <c r="K37" s="13" t="s">
        <v>320</v>
      </c>
      <c r="L37" s="13"/>
      <c r="M37" s="13"/>
      <c r="N37" s="14" t="str">
        <f>HYPERLINK("mailto:clay.tracy@dph.ga.gov","Clay Tracy")</f>
        <v>Clay Tracy</v>
      </c>
      <c r="O37" s="15" t="str">
        <f>HYPERLINK("mailto:Chris.Smith@fda.hhs.gov","Christopher Smith")</f>
        <v>Christopher Smith</v>
      </c>
    </row>
    <row r="38" spans="1:15" ht="30" x14ac:dyDescent="0.25">
      <c r="A38" s="6" t="str">
        <f>HYPERLINK("http://www.southwestgeorgiapublichealth.org/","Decatur County Environmental Health")</f>
        <v>Decatur County Environmental Health</v>
      </c>
      <c r="B38" s="7">
        <v>40584</v>
      </c>
      <c r="C38" s="8">
        <v>1</v>
      </c>
      <c r="D38" s="7">
        <v>41137</v>
      </c>
      <c r="E38" s="8" t="s">
        <v>360</v>
      </c>
      <c r="F38" s="8"/>
      <c r="G38" s="8"/>
      <c r="H38" s="8"/>
      <c r="I38" s="8"/>
      <c r="J38" s="8"/>
      <c r="K38" s="8"/>
      <c r="L38" s="8"/>
      <c r="M38" s="8"/>
      <c r="N38" s="9" t="str">
        <f>HYPERLINK("mailto:axjohnson@dhr.state.ga.us","Ansley Johnson")</f>
        <v>Ansley Johnson</v>
      </c>
      <c r="O38" s="10" t="str">
        <f>HYPERLINK("mailto:Chris.Smith@fda.hhs.gov","Christopher Smith")</f>
        <v>Christopher Smith</v>
      </c>
    </row>
    <row r="39" spans="1:15" ht="30" x14ac:dyDescent="0.25">
      <c r="A39" s="11" t="str">
        <f>HYPERLINK("http://www.dekalbhealth.net/","DeKalb County Environmental Health")</f>
        <v>DeKalb County Environmental Health</v>
      </c>
      <c r="B39" s="12">
        <v>37813</v>
      </c>
      <c r="C39" s="13">
        <v>1</v>
      </c>
      <c r="D39" s="12">
        <v>38160</v>
      </c>
      <c r="E39" s="13" t="s">
        <v>361</v>
      </c>
      <c r="F39" s="13"/>
      <c r="G39" s="13" t="s">
        <v>362</v>
      </c>
      <c r="H39" s="13"/>
      <c r="I39" s="13"/>
      <c r="J39" s="13"/>
      <c r="K39" s="13" t="s">
        <v>363</v>
      </c>
      <c r="L39" s="13"/>
      <c r="M39" s="13"/>
      <c r="N39" s="13" t="s">
        <v>364</v>
      </c>
      <c r="O39" s="15" t="str">
        <f>HYPERLINK("mailto:Chris.Smith@fda.hhs.gov","Christopher Smith")</f>
        <v>Christopher Smith</v>
      </c>
    </row>
    <row r="40" spans="1:15" ht="30" x14ac:dyDescent="0.25">
      <c r="A40" s="11" t="str">
        <f>HYPERLINK("http://www.dekalbhealth.net/","DeKalb County Environmental Health")</f>
        <v>DeKalb County Environmental Health</v>
      </c>
      <c r="B40" s="12">
        <v>37813</v>
      </c>
      <c r="C40" s="13">
        <v>2</v>
      </c>
      <c r="D40" s="12">
        <v>41911</v>
      </c>
      <c r="E40" s="13"/>
      <c r="F40" s="13"/>
      <c r="G40" s="13" t="s">
        <v>365</v>
      </c>
      <c r="H40" s="13"/>
      <c r="I40" s="13" t="s">
        <v>366</v>
      </c>
      <c r="J40" s="13"/>
      <c r="K40" s="13" t="s">
        <v>367</v>
      </c>
      <c r="L40" s="13"/>
      <c r="M40" s="13"/>
      <c r="N40" s="13" t="s">
        <v>364</v>
      </c>
      <c r="O40" s="15" t="str">
        <f>HYPERLINK("mailto:Chris.Smith@fda.hhs.gov","Christopher Smith")</f>
        <v>Christopher Smith</v>
      </c>
    </row>
    <row r="41" spans="1:15" ht="30" x14ac:dyDescent="0.25">
      <c r="A41" s="6" t="str">
        <f>HYPERLINK("http://southhealthdistrict.com/county-health-departments/echols-county-health-department/","Echols County Health Department")</f>
        <v>Echols County Health Department</v>
      </c>
      <c r="B41" s="7">
        <v>42846</v>
      </c>
      <c r="C41" s="8">
        <v>1</v>
      </c>
      <c r="D41" s="7">
        <v>43361</v>
      </c>
      <c r="E41" s="8" t="s">
        <v>368</v>
      </c>
      <c r="F41" s="8"/>
      <c r="G41" s="8"/>
      <c r="H41" s="8"/>
      <c r="I41" s="8"/>
      <c r="J41" s="8"/>
      <c r="K41" s="8"/>
      <c r="L41" s="8" t="s">
        <v>368</v>
      </c>
      <c r="M41" s="8"/>
      <c r="N41" s="9" t="str">
        <f>HYPERLINK("mailto:chris.calhoun@dph.ga.gov","Chris Calhoun")</f>
        <v>Chris Calhoun</v>
      </c>
      <c r="O41" s="10" t="str">
        <f>HYPERLINK("mailto:Joseph.Redditt@fda.hhs.gov","Dan Redditt")</f>
        <v>Dan Redditt</v>
      </c>
    </row>
    <row r="42" spans="1:15" ht="30" x14ac:dyDescent="0.25">
      <c r="A42" s="11" t="str">
        <f>HYPERLINK("http://health.state.ga.us/regional/effingham/index.asp","Effingham County Environmental Health")</f>
        <v>Effingham County Environmental Health</v>
      </c>
      <c r="B42" s="12">
        <v>38797</v>
      </c>
      <c r="C42" s="13">
        <v>1</v>
      </c>
      <c r="D42" s="12">
        <v>40366</v>
      </c>
      <c r="E42" s="13"/>
      <c r="F42" s="13"/>
      <c r="G42" s="13"/>
      <c r="H42" s="13"/>
      <c r="I42" s="13"/>
      <c r="J42" s="13"/>
      <c r="K42" s="13"/>
      <c r="L42" s="13"/>
      <c r="M42" s="13"/>
      <c r="N42" s="13" t="s">
        <v>369</v>
      </c>
      <c r="O42" s="15" t="str">
        <f>HYPERLINK("mailto:Chris.Smith@fda.hhs.gov","Christopher Smith")</f>
        <v>Christopher Smith</v>
      </c>
    </row>
    <row r="43" spans="1:15" ht="30" x14ac:dyDescent="0.25">
      <c r="A43" s="28" t="s">
        <v>370</v>
      </c>
      <c r="B43" s="7">
        <v>41046</v>
      </c>
      <c r="C43" s="8">
        <v>1</v>
      </c>
      <c r="D43" s="7">
        <v>41424</v>
      </c>
      <c r="E43" s="8" t="s">
        <v>342</v>
      </c>
      <c r="F43" s="8"/>
      <c r="G43" s="8"/>
      <c r="H43" s="8"/>
      <c r="I43" s="8"/>
      <c r="J43" s="8"/>
      <c r="K43" s="8"/>
      <c r="L43" s="8"/>
      <c r="M43" s="8"/>
      <c r="N43" s="9" t="str">
        <f>HYPERLINK("mailto:keli.hinson@dph.ga.gov","Keli Hinson")</f>
        <v>Keli Hinson</v>
      </c>
      <c r="O43" s="10" t="str">
        <f>HYPERLINK("mailto:Chris.Smith@fda.hhs.gov","Christopher Smith")</f>
        <v>Christopher Smith</v>
      </c>
    </row>
    <row r="44" spans="1:15" ht="30" x14ac:dyDescent="0.25">
      <c r="A44" s="11" t="str">
        <f>HYPERLINK("http://www.sehdph.org/evans-county.htm","Evans County")</f>
        <v>Evans County</v>
      </c>
      <c r="B44" s="12">
        <v>41675</v>
      </c>
      <c r="C44" s="13">
        <v>1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4" t="str">
        <f>HYPERLINK("mailto:Misty.McKanna@dph.ga.gov","Misty Mckanna")</f>
        <v>Misty Mckanna</v>
      </c>
      <c r="O44" s="15" t="str">
        <f>HYPERLINK("mailto:Chris.Smith@fda.hhs.gov","Christopher Smith")</f>
        <v>Christopher Smith</v>
      </c>
    </row>
    <row r="45" spans="1:15" ht="30" x14ac:dyDescent="0.25">
      <c r="A45" s="6" t="str">
        <f>HYPERLINK("http://nghd.org/FanninEnvironmental/","Fannin County")</f>
        <v>Fannin County</v>
      </c>
      <c r="B45" s="7">
        <v>41456</v>
      </c>
      <c r="C45" s="8">
        <v>1</v>
      </c>
      <c r="D45" s="8"/>
      <c r="E45" s="8"/>
      <c r="F45" s="8"/>
      <c r="G45" s="8"/>
      <c r="H45" s="8"/>
      <c r="I45" s="8"/>
      <c r="J45" s="8"/>
      <c r="K45" s="8"/>
      <c r="L45" s="8"/>
      <c r="M45" s="8"/>
      <c r="N45" s="9" t="str">
        <f>HYPERLINK("mailto:Amy.Grice@dph.ga.gov","Amy Grice")</f>
        <v>Amy Grice</v>
      </c>
      <c r="O45" s="10" t="str">
        <f>HYPERLINK("mailto:Chris.Smith@fda.hhs.gov","Christopher Smith")</f>
        <v>Christopher Smith</v>
      </c>
    </row>
    <row r="46" spans="1:15" ht="30" x14ac:dyDescent="0.25">
      <c r="A46" s="11" t="str">
        <f>HYPERLINK("http://www.nwgapublichealth.org/env/index.htm","Floyd County Health Department")</f>
        <v>Floyd County Health Department</v>
      </c>
      <c r="B46" s="12">
        <v>40722</v>
      </c>
      <c r="C46" s="13">
        <v>1</v>
      </c>
      <c r="D46" s="12">
        <v>41040</v>
      </c>
      <c r="E46" s="13" t="s">
        <v>317</v>
      </c>
      <c r="F46" s="13"/>
      <c r="G46" s="13"/>
      <c r="H46" s="13"/>
      <c r="I46" s="13"/>
      <c r="J46" s="13"/>
      <c r="K46" s="13"/>
      <c r="L46" s="13"/>
      <c r="M46" s="13"/>
      <c r="N46" s="14" t="str">
        <f>HYPERLINK("mailto:Tim.Allee@dph.ga.gov","Timothy Allee")</f>
        <v>Timothy Allee</v>
      </c>
      <c r="O46" s="15" t="str">
        <f>HYPERLINK("mailto:Chris.Smith@fda.hhs.gov","Christopher Smith")</f>
        <v>Christopher Smith</v>
      </c>
    </row>
    <row r="47" spans="1:15" ht="30" x14ac:dyDescent="0.25">
      <c r="A47" s="11" t="str">
        <f>HYPERLINK("http://www.nwgapublichealth.org/env/index.htm","Floyd County Health Department")</f>
        <v>Floyd County Health Department</v>
      </c>
      <c r="B47" s="12">
        <v>40722</v>
      </c>
      <c r="C47" s="13">
        <v>2</v>
      </c>
      <c r="D47" s="12">
        <v>42789</v>
      </c>
      <c r="E47" s="13" t="s">
        <v>318</v>
      </c>
      <c r="F47" s="13"/>
      <c r="G47" s="13" t="s">
        <v>319</v>
      </c>
      <c r="H47" s="13"/>
      <c r="I47" s="13"/>
      <c r="J47" s="13"/>
      <c r="K47" s="13" t="s">
        <v>320</v>
      </c>
      <c r="L47" s="13"/>
      <c r="M47" s="13"/>
      <c r="N47" s="14" t="str">
        <f>HYPERLINK("mailto:clay.tracy@dph.ga.gov","Clay Tracy")</f>
        <v>Clay Tracy</v>
      </c>
      <c r="O47" s="15" t="str">
        <f>HYPERLINK("mailto:Chris.Smith@fda.hhs.gov","Christopher Smith")</f>
        <v>Christopher Smith</v>
      </c>
    </row>
    <row r="48" spans="1:15" ht="30" x14ac:dyDescent="0.25">
      <c r="A48" s="6" t="str">
        <f>HYPERLINK("http://www.fultoncountyga.gov/","Fulton County Department of Health and Wellness")</f>
        <v>Fulton County Department of Health and Wellness</v>
      </c>
      <c r="B48" s="7">
        <v>39715</v>
      </c>
      <c r="C48" s="8">
        <v>1</v>
      </c>
      <c r="D48" s="7">
        <v>40344</v>
      </c>
      <c r="E48" s="8" t="s">
        <v>371</v>
      </c>
      <c r="F48" s="8"/>
      <c r="G48" s="8"/>
      <c r="H48" s="8"/>
      <c r="I48" s="8"/>
      <c r="J48" s="8"/>
      <c r="K48" s="8" t="s">
        <v>372</v>
      </c>
      <c r="L48" s="8"/>
      <c r="M48" s="8"/>
      <c r="N48" s="8"/>
      <c r="O48" s="10" t="str">
        <f>HYPERLINK("mailto:Chris.Smith@fda.hhs.gov","Christopher Smith")</f>
        <v>Christopher Smith</v>
      </c>
    </row>
    <row r="49" spans="1:15" ht="30" x14ac:dyDescent="0.25">
      <c r="A49" s="6" t="str">
        <f>HYPERLINK("http://www.fultoncountyga.gov/","Fulton County Department of Health and Wellness")</f>
        <v>Fulton County Department of Health and Wellness</v>
      </c>
      <c r="B49" s="7">
        <v>39715</v>
      </c>
      <c r="C49" s="8">
        <v>2</v>
      </c>
      <c r="D49" s="7">
        <v>42810</v>
      </c>
      <c r="E49" s="8" t="s">
        <v>373</v>
      </c>
      <c r="F49" s="8"/>
      <c r="G49" s="8"/>
      <c r="H49" s="8"/>
      <c r="I49" s="8"/>
      <c r="J49" s="8"/>
      <c r="K49" s="8"/>
      <c r="L49" s="8"/>
      <c r="M49" s="8"/>
      <c r="N49" s="8" t="s">
        <v>374</v>
      </c>
      <c r="O49" s="10" t="str">
        <f>HYPERLINK("mailto:Chris.Smith@fda.hhs.gov","Christopher Smith")</f>
        <v>Christopher Smith</v>
      </c>
    </row>
    <row r="50" spans="1:15" ht="30" x14ac:dyDescent="0.25">
      <c r="A50" s="11" t="str">
        <f>HYPERLINK("http://agr.georgia.gov/foodsafety.aspx","Georgia Department of Agriculture")</f>
        <v>Georgia Department of Agriculture</v>
      </c>
      <c r="B50" s="12">
        <v>37186</v>
      </c>
      <c r="C50" s="13">
        <v>1</v>
      </c>
      <c r="D50" s="12">
        <v>37683</v>
      </c>
      <c r="E50" s="13" t="s">
        <v>375</v>
      </c>
      <c r="F50" s="13"/>
      <c r="G50" s="13"/>
      <c r="H50" s="13"/>
      <c r="I50" s="13" t="s">
        <v>375</v>
      </c>
      <c r="J50" s="13"/>
      <c r="K50" s="13" t="s">
        <v>375</v>
      </c>
      <c r="L50" s="13"/>
      <c r="M50" s="13"/>
      <c r="N50" s="14" t="str">
        <f>HYPERLINK("mailto:Craig.Nielsen@agr.georgia.gov","Craig Nielson")</f>
        <v>Craig Nielson</v>
      </c>
      <c r="O50" s="15" t="str">
        <f>HYPERLINK("mailto:Cameron.Wiggins@fda.hhs.gov","Cameron Wiggins")</f>
        <v>Cameron Wiggins</v>
      </c>
    </row>
    <row r="51" spans="1:15" ht="30" x14ac:dyDescent="0.25">
      <c r="A51" s="11" t="str">
        <f>HYPERLINK("http://agr.georgia.gov/foodsafety.aspx","Georgia Department of Agriculture")</f>
        <v>Georgia Department of Agriculture</v>
      </c>
      <c r="B51" s="12">
        <v>37186</v>
      </c>
      <c r="C51" s="13">
        <v>2</v>
      </c>
      <c r="D51" s="12">
        <v>41100</v>
      </c>
      <c r="E51" s="13"/>
      <c r="F51" s="13"/>
      <c r="G51" s="13"/>
      <c r="H51" s="13"/>
      <c r="I51" s="13"/>
      <c r="J51" s="13" t="s">
        <v>376</v>
      </c>
      <c r="K51" s="13"/>
      <c r="L51" s="13"/>
      <c r="M51" s="13"/>
      <c r="N51" s="14" t="str">
        <f>HYPERLINK("mailto:Craig.Nielsen@agr.georgia.gov","Craig Nielson")</f>
        <v>Craig Nielson</v>
      </c>
      <c r="O51" s="15" t="str">
        <f>HYPERLINK("mailto:Cameron.Wiggins@fda.hhs.gov","Cameron Wiggins")</f>
        <v>Cameron Wiggins</v>
      </c>
    </row>
    <row r="52" spans="1:15" ht="30" x14ac:dyDescent="0.25">
      <c r="A52" s="11" t="str">
        <f>HYPERLINK("http://agr.georgia.gov/foodsafety.aspx","Georgia Department of Agriculture")</f>
        <v>Georgia Department of Agriculture</v>
      </c>
      <c r="B52" s="12">
        <v>37186</v>
      </c>
      <c r="C52" s="13">
        <v>3</v>
      </c>
      <c r="D52" s="12">
        <v>42748</v>
      </c>
      <c r="E52" s="13" t="s">
        <v>377</v>
      </c>
      <c r="F52" s="13"/>
      <c r="G52" s="13"/>
      <c r="H52" s="13"/>
      <c r="I52" s="13"/>
      <c r="J52" s="13"/>
      <c r="K52" s="13" t="s">
        <v>378</v>
      </c>
      <c r="L52" s="13"/>
      <c r="M52" s="13"/>
      <c r="N52" s="14" t="str">
        <f>HYPERLINK("mailto:Craig.Nielsen@agr.georgia.gov","Craig Nielson")</f>
        <v>Craig Nielson</v>
      </c>
      <c r="O52" s="15" t="str">
        <f>HYPERLINK("mailto:Cameron.Wiggins@fda.hhs.gov","Cameron Wiggins")</f>
        <v>Cameron Wiggins</v>
      </c>
    </row>
    <row r="53" spans="1:15" ht="30" x14ac:dyDescent="0.25">
      <c r="A53" s="6" t="str">
        <f>HYPERLINK("http://www.georgiaeh.us/","Georgia Department of Public Health")</f>
        <v>Georgia Department of Public Health</v>
      </c>
      <c r="B53" s="7">
        <v>39315</v>
      </c>
      <c r="C53" s="8">
        <v>1</v>
      </c>
      <c r="D53" s="7">
        <v>39954</v>
      </c>
      <c r="E53" s="8" t="s">
        <v>132</v>
      </c>
      <c r="F53" s="8"/>
      <c r="G53" s="8" t="s">
        <v>132</v>
      </c>
      <c r="H53" s="8"/>
      <c r="I53" s="8"/>
      <c r="J53" s="8"/>
      <c r="K53" s="8" t="s">
        <v>132</v>
      </c>
      <c r="L53" s="8"/>
      <c r="M53" s="8"/>
      <c r="N53" s="9" t="str">
        <f>HYPERLINK("mailto:corey.millwood@dph.ga.gov","Corey Millwood")</f>
        <v>Corey Millwood</v>
      </c>
      <c r="O53" s="10" t="str">
        <f>HYPERLINK("mailto:Joseph.Redditt@fda.hhs.gov","Dan Redditt")</f>
        <v>Dan Redditt</v>
      </c>
    </row>
    <row r="54" spans="1:15" ht="30" x14ac:dyDescent="0.25">
      <c r="A54" s="6" t="str">
        <f>HYPERLINK("http://www.georgiaeh.us/","Georgia Department of Public Health")</f>
        <v>Georgia Department of Public Health</v>
      </c>
      <c r="B54" s="7">
        <v>39315</v>
      </c>
      <c r="C54" s="8">
        <v>2</v>
      </c>
      <c r="D54" s="7">
        <v>41892</v>
      </c>
      <c r="E54" s="8" t="s">
        <v>379</v>
      </c>
      <c r="F54" s="8"/>
      <c r="G54" s="8" t="s">
        <v>380</v>
      </c>
      <c r="H54" s="8"/>
      <c r="I54" s="8"/>
      <c r="J54" s="8"/>
      <c r="K54" s="8" t="s">
        <v>381</v>
      </c>
      <c r="L54" s="8"/>
      <c r="M54" s="8"/>
      <c r="N54" s="9" t="str">
        <f>HYPERLINK("mailto:corey.millwood@dph.ga.gov","Corey Millwood")</f>
        <v>Corey Millwood</v>
      </c>
      <c r="O54" s="10" t="str">
        <f>HYPERLINK("mailto:Joseph.Redditt@fda.hhs.gov","Dan Redditt")</f>
        <v>Dan Redditt</v>
      </c>
    </row>
    <row r="55" spans="1:15" ht="30" x14ac:dyDescent="0.25">
      <c r="A55" s="11" t="str">
        <f>HYPERLINK("http://www.nghd.org/GilmerEnvironmental/","Gilmer County")</f>
        <v>Gilmer County</v>
      </c>
      <c r="B55" s="12">
        <v>41456</v>
      </c>
      <c r="C55" s="13">
        <v>1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4" t="str">
        <f>HYPERLINK("mailto:Amy.Grice@dph.ga.gov","Amy Grice")</f>
        <v>Amy Grice</v>
      </c>
      <c r="O55" s="15" t="str">
        <f>HYPERLINK("mailto:Chris.Smith@fda.hhs.gov","Christopher Smith")</f>
        <v>Christopher Smith</v>
      </c>
    </row>
    <row r="56" spans="1:15" ht="30" x14ac:dyDescent="0.25">
      <c r="A56" s="11" t="str">
        <f>HYPERLINK("http://www.nghd.org/GilmerEnvironmental/","Gilmer County")</f>
        <v>Gilmer County</v>
      </c>
      <c r="B56" s="12">
        <v>41456</v>
      </c>
      <c r="C56" s="13">
        <v>2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4" t="str">
        <f>HYPERLINK("mailto:Amy.Grice@dph.ga.gov","Amy Grice")</f>
        <v>Amy Grice</v>
      </c>
      <c r="O56" s="15" t="str">
        <f>HYPERLINK("mailto:Chris.Smith@fda.hhs.gov","Christopher Smith")</f>
        <v>Christopher Smith</v>
      </c>
    </row>
    <row r="57" spans="1:15" ht="30" x14ac:dyDescent="0.25">
      <c r="A57" s="6" t="str">
        <f>HYPERLINK("http://www.gachd.org/counties/glynn_county_health_department_1.php","Glynn County Health Department")</f>
        <v>Glynn County Health Department</v>
      </c>
      <c r="B57" s="7">
        <v>38953</v>
      </c>
      <c r="C57" s="8">
        <v>1</v>
      </c>
      <c r="D57" s="7">
        <v>40312</v>
      </c>
      <c r="E57" s="8" t="s">
        <v>382</v>
      </c>
      <c r="F57" s="8"/>
      <c r="G57" s="8"/>
      <c r="H57" s="8"/>
      <c r="I57" s="8"/>
      <c r="J57" s="8"/>
      <c r="K57" s="8" t="s">
        <v>382</v>
      </c>
      <c r="L57" s="8"/>
      <c r="M57" s="8"/>
      <c r="N57" s="8" t="s">
        <v>383</v>
      </c>
      <c r="O57" s="10" t="str">
        <f>HYPERLINK("mailto:Chris.Smith@fda.hhs.gov","Christopher Smith")</f>
        <v>Christopher Smith</v>
      </c>
    </row>
    <row r="58" spans="1:15" ht="30" x14ac:dyDescent="0.25">
      <c r="A58" s="11" t="str">
        <f>HYPERLINK("http://www.nwgapublichealth.org/env/index.htm","Gordon County Health Department")</f>
        <v>Gordon County Health Department</v>
      </c>
      <c r="B58" s="12">
        <v>40722</v>
      </c>
      <c r="C58" s="13">
        <v>1</v>
      </c>
      <c r="D58" s="12">
        <v>41040</v>
      </c>
      <c r="E58" s="13" t="s">
        <v>317</v>
      </c>
      <c r="F58" s="13"/>
      <c r="G58" s="13"/>
      <c r="H58" s="13"/>
      <c r="I58" s="13"/>
      <c r="J58" s="13"/>
      <c r="K58" s="13"/>
      <c r="L58" s="13"/>
      <c r="M58" s="13"/>
      <c r="N58" s="14" t="str">
        <f>HYPERLINK("mailto:Tim.Allee@dph.ga.gov","Timothy Allee")</f>
        <v>Timothy Allee</v>
      </c>
      <c r="O58" s="15" t="str">
        <f>HYPERLINK("mailto:Chris.Smith@fda.hhs.gov","Christopher Smith")</f>
        <v>Christopher Smith</v>
      </c>
    </row>
    <row r="59" spans="1:15" ht="30" x14ac:dyDescent="0.25">
      <c r="A59" s="11" t="str">
        <f>HYPERLINK("http://www.nwgapublichealth.org/env/index.htm","Gordon County Health Department")</f>
        <v>Gordon County Health Department</v>
      </c>
      <c r="B59" s="12">
        <v>40722</v>
      </c>
      <c r="C59" s="13">
        <v>2</v>
      </c>
      <c r="D59" s="12">
        <v>42789</v>
      </c>
      <c r="E59" s="13" t="s">
        <v>318</v>
      </c>
      <c r="F59" s="13"/>
      <c r="G59" s="13" t="s">
        <v>319</v>
      </c>
      <c r="H59" s="13"/>
      <c r="I59" s="13"/>
      <c r="J59" s="13"/>
      <c r="K59" s="13" t="s">
        <v>320</v>
      </c>
      <c r="L59" s="13"/>
      <c r="M59" s="13"/>
      <c r="N59" s="14" t="str">
        <f>HYPERLINK("mailto:clay.tracy@dph.ga.gov","Clay Tracy")</f>
        <v>Clay Tracy</v>
      </c>
      <c r="O59" s="15" t="str">
        <f>HYPERLINK("mailto:Chris.Smith@fda.hhs.gov","Christopher Smith")</f>
        <v>Christopher Smith</v>
      </c>
    </row>
    <row r="60" spans="1:15" ht="30" x14ac:dyDescent="0.25">
      <c r="A60" s="28" t="s">
        <v>384</v>
      </c>
      <c r="B60" s="7">
        <v>41046</v>
      </c>
      <c r="C60" s="8">
        <v>1</v>
      </c>
      <c r="D60" s="7">
        <v>41424</v>
      </c>
      <c r="E60" s="8" t="s">
        <v>342</v>
      </c>
      <c r="F60" s="8"/>
      <c r="G60" s="8"/>
      <c r="H60" s="8"/>
      <c r="I60" s="8"/>
      <c r="J60" s="8"/>
      <c r="K60" s="8"/>
      <c r="L60" s="8"/>
      <c r="M60" s="8"/>
      <c r="N60" s="9" t="str">
        <f>HYPERLINK("mailto:keli.hinson@dph.ga.gov","Keli Hinson")</f>
        <v>Keli Hinson</v>
      </c>
      <c r="O60" s="10" t="str">
        <f>HYPERLINK("mailto:Chris.Smith@fda.hhs.gov","Christopher Smith")</f>
        <v>Christopher Smith</v>
      </c>
    </row>
    <row r="61" spans="1:15" ht="60" x14ac:dyDescent="0.25">
      <c r="A61" s="11" t="str">
        <f>HYPERLINK("http://www.gnrhealth.com/services/environmental-health-index/","Gwinnett, Newton,  &amp; Rockdale County Environmental Health Departments")</f>
        <v>Gwinnett, Newton,  &amp; Rockdale County Environmental Health Departments</v>
      </c>
      <c r="B61" s="12">
        <v>38357</v>
      </c>
      <c r="C61" s="13">
        <v>1</v>
      </c>
      <c r="D61" s="12">
        <v>38736</v>
      </c>
      <c r="E61" s="13" t="s">
        <v>385</v>
      </c>
      <c r="F61" s="13"/>
      <c r="G61" s="13"/>
      <c r="H61" s="13"/>
      <c r="I61" s="13"/>
      <c r="J61" s="13"/>
      <c r="K61" s="13" t="s">
        <v>385</v>
      </c>
      <c r="L61" s="13"/>
      <c r="M61" s="13"/>
      <c r="N61" s="13" t="s">
        <v>386</v>
      </c>
      <c r="O61" s="15" t="str">
        <f>HYPERLINK("mailto:Joseph.Redditt@fda.hhs.gov","Dan Redditt")</f>
        <v>Dan Redditt</v>
      </c>
    </row>
    <row r="62" spans="1:15" ht="60" x14ac:dyDescent="0.25">
      <c r="A62" s="11" t="str">
        <f>HYPERLINK("http://www.gnrhealth.com/services/environmental-health-index/","Gwinnett, Newton,  &amp; Rockdale County Environmental Health Departments")</f>
        <v>Gwinnett, Newton,  &amp; Rockdale County Environmental Health Departments</v>
      </c>
      <c r="B62" s="12">
        <v>38357</v>
      </c>
      <c r="C62" s="13">
        <v>2</v>
      </c>
      <c r="D62" s="12">
        <v>40313</v>
      </c>
      <c r="E62" s="13" t="s">
        <v>387</v>
      </c>
      <c r="F62" s="13"/>
      <c r="G62" s="13" t="s">
        <v>388</v>
      </c>
      <c r="H62" s="13" t="s">
        <v>389</v>
      </c>
      <c r="I62" s="13"/>
      <c r="J62" s="13"/>
      <c r="K62" s="13" t="s">
        <v>390</v>
      </c>
      <c r="L62" s="13"/>
      <c r="M62" s="13"/>
      <c r="N62" s="13" t="s">
        <v>386</v>
      </c>
      <c r="O62" s="15" t="str">
        <f>HYPERLINK("mailto:Joseph.Redditt@fda.hhs.gov","Dan Redditt")</f>
        <v>Dan Redditt</v>
      </c>
    </row>
    <row r="63" spans="1:15" ht="60" x14ac:dyDescent="0.25">
      <c r="A63" s="11" t="str">
        <f>HYPERLINK("http://www.gnrhealth.com/services/environmental-health-index/","Gwinnett, Newton,  &amp; Rockdale County Environmental Health Departments")</f>
        <v>Gwinnett, Newton,  &amp; Rockdale County Environmental Health Departments</v>
      </c>
      <c r="B63" s="12">
        <v>38357</v>
      </c>
      <c r="C63" s="13">
        <v>3</v>
      </c>
      <c r="D63" s="12">
        <v>42187</v>
      </c>
      <c r="E63" s="13" t="s">
        <v>391</v>
      </c>
      <c r="F63" s="13" t="s">
        <v>392</v>
      </c>
      <c r="G63" s="13" t="s">
        <v>393</v>
      </c>
      <c r="H63" s="13" t="s">
        <v>394</v>
      </c>
      <c r="I63" s="13" t="s">
        <v>395</v>
      </c>
      <c r="J63" s="13" t="s">
        <v>396</v>
      </c>
      <c r="K63" s="13" t="s">
        <v>394</v>
      </c>
      <c r="L63" s="13" t="s">
        <v>397</v>
      </c>
      <c r="M63" s="13" t="s">
        <v>398</v>
      </c>
      <c r="N63" s="13" t="s">
        <v>386</v>
      </c>
      <c r="O63" s="15" t="str">
        <f>HYPERLINK("mailto:Joseph.Redditt@fda.hhs.gov","Dan Redditt")</f>
        <v>Dan Redditt</v>
      </c>
    </row>
    <row r="64" spans="1:15" ht="30" x14ac:dyDescent="0.25">
      <c r="A64" s="6" t="str">
        <f>HYPERLINK("http://northcentralhealthdistrict.org/department/hancock-county-health-department/","Hancock County Health Department")</f>
        <v>Hancock County Health Department</v>
      </c>
      <c r="B64" s="7">
        <v>42295</v>
      </c>
      <c r="C64" s="8">
        <v>1</v>
      </c>
      <c r="D64" s="7">
        <v>42780</v>
      </c>
      <c r="E64" s="8" t="s">
        <v>316</v>
      </c>
      <c r="F64" s="8"/>
      <c r="G64" s="8"/>
      <c r="H64" s="8"/>
      <c r="I64" s="8"/>
      <c r="J64" s="8"/>
      <c r="K64" s="8"/>
      <c r="L64" s="8"/>
      <c r="M64" s="8"/>
      <c r="N64" s="9" t="str">
        <f>HYPERLINK("mailto:Tom.Baird@dph.ga.gov","Tom Baird")</f>
        <v>Tom Baird</v>
      </c>
      <c r="O64" s="10" t="str">
        <f>HYPERLINK("mailto:Chris.Smith@fda.hhs.gov","Christopher Smith")</f>
        <v>Christopher Smith</v>
      </c>
    </row>
    <row r="65" spans="1:15" ht="30" x14ac:dyDescent="0.25">
      <c r="A65" s="11" t="str">
        <f>HYPERLINK("http://www.nwgapublichealth.org/env/index.htm","Haralson County")</f>
        <v>Haralson County</v>
      </c>
      <c r="B65" s="12">
        <v>40722</v>
      </c>
      <c r="C65" s="13">
        <v>1</v>
      </c>
      <c r="D65" s="12">
        <v>41040</v>
      </c>
      <c r="E65" s="13" t="s">
        <v>317</v>
      </c>
      <c r="F65" s="13"/>
      <c r="G65" s="13"/>
      <c r="H65" s="13"/>
      <c r="I65" s="13"/>
      <c r="J65" s="13"/>
      <c r="K65" s="13"/>
      <c r="L65" s="13"/>
      <c r="M65" s="13"/>
      <c r="N65" s="14" t="str">
        <f>HYPERLINK("mailto:Tim.Allee@dph.ga.gov","Timothy Allee")</f>
        <v>Timothy Allee</v>
      </c>
      <c r="O65" s="15" t="str">
        <f>HYPERLINK("mailto:Chris.Smith@fda.hhs.gov","Christopher Smith")</f>
        <v>Christopher Smith</v>
      </c>
    </row>
    <row r="66" spans="1:15" ht="30" x14ac:dyDescent="0.25">
      <c r="A66" s="11" t="str">
        <f>HYPERLINK("http://www.nwgapublichealth.org/env/index.htm","Haralson County")</f>
        <v>Haralson County</v>
      </c>
      <c r="B66" s="12">
        <v>40722</v>
      </c>
      <c r="C66" s="13">
        <v>2</v>
      </c>
      <c r="D66" s="12">
        <v>42789</v>
      </c>
      <c r="E66" s="13" t="s">
        <v>318</v>
      </c>
      <c r="F66" s="13"/>
      <c r="G66" s="13" t="s">
        <v>319</v>
      </c>
      <c r="H66" s="13"/>
      <c r="I66" s="13"/>
      <c r="J66" s="13"/>
      <c r="K66" s="13" t="s">
        <v>320</v>
      </c>
      <c r="L66" s="13"/>
      <c r="M66" s="13"/>
      <c r="N66" s="14" t="str">
        <f>HYPERLINK("mailto:clay.tracy@dph.ga.gov","Clay Tracy")</f>
        <v>Clay Tracy</v>
      </c>
      <c r="O66" s="15" t="str">
        <f>HYPERLINK("mailto:Chris.Smith@fda.hhs.gov","Christopher Smith")</f>
        <v>Christopher Smith</v>
      </c>
    </row>
    <row r="67" spans="1:15" ht="30" x14ac:dyDescent="0.25">
      <c r="A67" s="28" t="s">
        <v>399</v>
      </c>
      <c r="B67" s="7">
        <v>39113</v>
      </c>
      <c r="C67" s="8">
        <v>1</v>
      </c>
      <c r="D67" s="7">
        <v>41243</v>
      </c>
      <c r="E67" s="8" t="s">
        <v>400</v>
      </c>
      <c r="F67" s="8"/>
      <c r="G67" s="8" t="s">
        <v>400</v>
      </c>
      <c r="H67" s="8"/>
      <c r="I67" s="8"/>
      <c r="J67" s="8"/>
      <c r="K67" s="8" t="s">
        <v>400</v>
      </c>
      <c r="L67" s="8"/>
      <c r="M67" s="8"/>
      <c r="N67" s="9" t="str">
        <f>HYPERLINK("mailto:Jaime.Kitchens@dph.ga.gov","Jaime Kitchens")</f>
        <v>Jaime Kitchens</v>
      </c>
      <c r="O67" s="10" t="str">
        <f>HYPERLINK("mailto:Chris.Smith@fda.hhs.gov","Christopher Smith")</f>
        <v>Christopher Smith</v>
      </c>
    </row>
    <row r="68" spans="1:15" ht="30" x14ac:dyDescent="0.25">
      <c r="A68" s="28" t="s">
        <v>399</v>
      </c>
      <c r="B68" s="7">
        <v>39113</v>
      </c>
      <c r="C68" s="8">
        <v>2</v>
      </c>
      <c r="D68" s="8"/>
      <c r="E68" s="8"/>
      <c r="F68" s="8"/>
      <c r="G68" s="8"/>
      <c r="H68" s="8"/>
      <c r="I68" s="8"/>
      <c r="J68" s="8"/>
      <c r="K68" s="8"/>
      <c r="L68" s="8"/>
      <c r="M68" s="8"/>
      <c r="N68" s="9" t="str">
        <f>HYPERLINK("mailto:Jaime.Kitchens@dph.ga.gov","Jaime Kitchens")</f>
        <v>Jaime Kitchens</v>
      </c>
      <c r="O68" s="10" t="str">
        <f>HYPERLINK("mailto:Chris.Smith@fda.hhs.gov","Christopher Smith")</f>
        <v>Christopher Smith</v>
      </c>
    </row>
    <row r="69" spans="1:15" ht="30" x14ac:dyDescent="0.25">
      <c r="A69" s="11" t="str">
        <f>HYPERLINK("http://health.state.ga.us/regional/houston/index.asp","Houston County Health Department")</f>
        <v>Houston County Health Department</v>
      </c>
      <c r="B69" s="12">
        <v>37813</v>
      </c>
      <c r="C69" s="13">
        <v>1</v>
      </c>
      <c r="D69" s="12">
        <v>37813</v>
      </c>
      <c r="E69" s="13"/>
      <c r="F69" s="13"/>
      <c r="G69" s="13"/>
      <c r="H69" s="13"/>
      <c r="I69" s="13"/>
      <c r="J69" s="13"/>
      <c r="K69" s="13" t="s">
        <v>401</v>
      </c>
      <c r="L69" s="13"/>
      <c r="M69" s="13"/>
      <c r="N69" s="14" t="str">
        <f>HYPERLINK("mailto:Tom.Baird@dph.ga.gov","Tom Baird")</f>
        <v>Tom Baird</v>
      </c>
      <c r="O69" s="15" t="str">
        <f>HYPERLINK("mailto:Chris.Smith@fda.hhs.gov","Christopher Smith")</f>
        <v>Christopher Smith</v>
      </c>
    </row>
    <row r="70" spans="1:15" ht="30" x14ac:dyDescent="0.25">
      <c r="A70" s="11" t="str">
        <f>HYPERLINK("http://health.state.ga.us/regional/houston/index.asp","Houston County Health Department")</f>
        <v>Houston County Health Department</v>
      </c>
      <c r="B70" s="12">
        <v>37813</v>
      </c>
      <c r="C70" s="13">
        <v>2</v>
      </c>
      <c r="D70" s="12">
        <v>39499</v>
      </c>
      <c r="E70" s="13" t="s">
        <v>402</v>
      </c>
      <c r="F70" s="13"/>
      <c r="G70" s="13"/>
      <c r="H70" s="13"/>
      <c r="I70" s="13"/>
      <c r="J70" s="13"/>
      <c r="K70" s="13"/>
      <c r="L70" s="13"/>
      <c r="M70" s="13"/>
      <c r="N70" s="14" t="str">
        <f>HYPERLINK("mailto:Tom.Baird@dph.ga.gov","Tom Baird")</f>
        <v>Tom Baird</v>
      </c>
      <c r="O70" s="15" t="str">
        <f>HYPERLINK("mailto:Chris.Smith@fda.hhs.gov","Christopher Smith")</f>
        <v>Christopher Smith</v>
      </c>
    </row>
    <row r="71" spans="1:15" ht="30" x14ac:dyDescent="0.25">
      <c r="A71" s="11" t="str">
        <f>HYPERLINK("http://health.state.ga.us/regional/houston/index.asp","Houston County Health Department")</f>
        <v>Houston County Health Department</v>
      </c>
      <c r="B71" s="12">
        <v>37813</v>
      </c>
      <c r="C71" s="13">
        <v>3</v>
      </c>
      <c r="D71" s="12">
        <v>42780</v>
      </c>
      <c r="E71" s="13" t="s">
        <v>316</v>
      </c>
      <c r="F71" s="13"/>
      <c r="G71" s="13"/>
      <c r="H71" s="13"/>
      <c r="I71" s="13"/>
      <c r="J71" s="13"/>
      <c r="K71" s="13"/>
      <c r="L71" s="13"/>
      <c r="M71" s="13"/>
      <c r="N71" s="14" t="str">
        <f>HYPERLINK("mailto:Tom.Baird@dph.ga.gov","Tom Baird")</f>
        <v>Tom Baird</v>
      </c>
      <c r="O71" s="15" t="str">
        <f>HYPERLINK("mailto:Chris.Smith@fda.hhs.gov","Christopher Smith")</f>
        <v>Christopher Smith</v>
      </c>
    </row>
    <row r="72" spans="1:15" ht="30" x14ac:dyDescent="0.25">
      <c r="A72" s="6" t="str">
        <f>HYPERLINK("http://southhealthdistrict.com/county-health-departments/irwin-county-health-department/","Irwin")</f>
        <v>Irwin</v>
      </c>
      <c r="B72" s="7">
        <v>42846</v>
      </c>
      <c r="C72" s="8">
        <v>1</v>
      </c>
      <c r="D72" s="8"/>
      <c r="E72" s="8"/>
      <c r="F72" s="8"/>
      <c r="G72" s="8"/>
      <c r="H72" s="8"/>
      <c r="I72" s="8"/>
      <c r="J72" s="8"/>
      <c r="K72" s="8"/>
      <c r="L72" s="8"/>
      <c r="M72" s="8"/>
      <c r="N72" s="9" t="str">
        <f>HYPERLINK("mailto:chris.calhoun@dph.ga.gov","Chris Calhoun")</f>
        <v>Chris Calhoun</v>
      </c>
      <c r="O72" s="10" t="str">
        <f>HYPERLINK("mailto:Chris.Smith@fda.hhs.gov","Christopher Smith")</f>
        <v>Christopher Smith</v>
      </c>
    </row>
    <row r="73" spans="1:15" ht="30" x14ac:dyDescent="0.25">
      <c r="A73" s="11" t="str">
        <f>HYPERLINK("http://www.publichealthathens.com/","Jackson County Environmental Health")</f>
        <v>Jackson County Environmental Health</v>
      </c>
      <c r="B73" s="12">
        <v>41046</v>
      </c>
      <c r="C73" s="13">
        <v>1</v>
      </c>
      <c r="D73" s="12">
        <v>41424</v>
      </c>
      <c r="E73" s="13" t="s">
        <v>342</v>
      </c>
      <c r="F73" s="13"/>
      <c r="G73" s="13"/>
      <c r="H73" s="13"/>
      <c r="I73" s="13"/>
      <c r="J73" s="13"/>
      <c r="K73" s="13"/>
      <c r="L73" s="13"/>
      <c r="M73" s="13"/>
      <c r="N73" s="14" t="str">
        <f>HYPERLINK("mailto:keli.hinson@dph.ga.gov","Keli Hinson")</f>
        <v>Keli Hinson</v>
      </c>
      <c r="O73" s="15" t="str">
        <f>HYPERLINK("mailto:Chris.Smith@fda.hhs.gov","Christopher Smith")</f>
        <v>Christopher Smith</v>
      </c>
    </row>
    <row r="74" spans="1:15" ht="30" x14ac:dyDescent="0.25">
      <c r="A74" s="28" t="s">
        <v>403</v>
      </c>
      <c r="B74" s="7">
        <v>42295</v>
      </c>
      <c r="C74" s="8">
        <v>1</v>
      </c>
      <c r="D74" s="7">
        <v>42780</v>
      </c>
      <c r="E74" s="8" t="s">
        <v>316</v>
      </c>
      <c r="F74" s="8"/>
      <c r="G74" s="8"/>
      <c r="H74" s="8"/>
      <c r="I74" s="8"/>
      <c r="J74" s="8"/>
      <c r="K74" s="8"/>
      <c r="L74" s="8"/>
      <c r="M74" s="8"/>
      <c r="N74" s="9" t="str">
        <f>HYPERLINK("mailto:Tom.Baird@dph.ga.gov","Tom Baird")</f>
        <v>Tom Baird</v>
      </c>
      <c r="O74" s="10" t="str">
        <f>HYPERLINK("mailto:Chris.Smith@fda.hhs.gov","Christopher Smith")</f>
        <v>Christopher Smith</v>
      </c>
    </row>
    <row r="75" spans="1:15" ht="30" x14ac:dyDescent="0.25">
      <c r="A75" s="11" t="str">
        <f>HYPERLINK("http://northcentralhealthdistrict.org/department/jones-county-health-department/","Jones County Health Department")</f>
        <v>Jones County Health Department</v>
      </c>
      <c r="B75" s="12">
        <v>42295</v>
      </c>
      <c r="C75" s="13">
        <v>1</v>
      </c>
      <c r="D75" s="12">
        <v>42780</v>
      </c>
      <c r="E75" s="13" t="s">
        <v>316</v>
      </c>
      <c r="F75" s="13"/>
      <c r="G75" s="13"/>
      <c r="H75" s="13"/>
      <c r="I75" s="13"/>
      <c r="J75" s="13"/>
      <c r="K75" s="13"/>
      <c r="L75" s="13"/>
      <c r="M75" s="13"/>
      <c r="N75" s="14" t="str">
        <f>HYPERLINK("mailto:Tom.Baird@dph.ga.gov","Tom Baird")</f>
        <v>Tom Baird</v>
      </c>
      <c r="O75" s="15" t="str">
        <f>HYPERLINK("mailto:Chris.Smith@fda.hhs.gov","Christopher Smith")</f>
        <v>Christopher Smith</v>
      </c>
    </row>
    <row r="76" spans="1:15" ht="30" x14ac:dyDescent="0.25">
      <c r="A76" s="6" t="str">
        <f>HYPERLINK("http://southhealthdistrict.com/county-health-departments/lanier-county-health-department/","Lanier")</f>
        <v>Lanier</v>
      </c>
      <c r="B76" s="7">
        <v>42846</v>
      </c>
      <c r="C76" s="8">
        <v>1</v>
      </c>
      <c r="D76" s="8"/>
      <c r="E76" s="8"/>
      <c r="F76" s="8"/>
      <c r="G76" s="8"/>
      <c r="H76" s="8"/>
      <c r="I76" s="8"/>
      <c r="J76" s="8"/>
      <c r="K76" s="8"/>
      <c r="L76" s="8"/>
      <c r="M76" s="8"/>
      <c r="N76" s="9" t="str">
        <f>HYPERLINK("mailto:chris.calhoun@dph.ga.gov","Chris Calhoun")</f>
        <v>Chris Calhoun</v>
      </c>
      <c r="O76" s="10" t="str">
        <f>HYPERLINK("mailto:Chris.Smith@fda.hhs.gov","Christopher Smith")</f>
        <v>Christopher Smith</v>
      </c>
    </row>
    <row r="77" spans="1:15" ht="30" x14ac:dyDescent="0.25">
      <c r="A77" s="11" t="str">
        <f>HYPERLINK("http://www.leecountync.gov/Departments/PublicHealth/EnvironmentalHealth.aspx","Lee County Health Department")</f>
        <v>Lee County Health Department</v>
      </c>
      <c r="B77" s="12">
        <v>40312</v>
      </c>
      <c r="C77" s="13">
        <v>1</v>
      </c>
      <c r="D77" s="12">
        <v>40453</v>
      </c>
      <c r="E77" s="13" t="s">
        <v>330</v>
      </c>
      <c r="F77" s="13"/>
      <c r="G77" s="13" t="s">
        <v>404</v>
      </c>
      <c r="H77" s="13"/>
      <c r="I77" s="13"/>
      <c r="J77" s="13"/>
      <c r="K77" s="13"/>
      <c r="L77" s="13"/>
      <c r="M77" s="13"/>
      <c r="N77" s="13" t="s">
        <v>332</v>
      </c>
      <c r="O77" s="15" t="str">
        <f>HYPERLINK("mailto:Joseph.Redditt@fda.hhs.gov","Dan Redditt")</f>
        <v>Dan Redditt</v>
      </c>
    </row>
    <row r="78" spans="1:15" ht="30" x14ac:dyDescent="0.25">
      <c r="A78" s="11" t="str">
        <f>HYPERLINK("http://www.leecountync.gov/Departments/PublicHealth/EnvironmentalHealth.aspx","Lee County Health Department")</f>
        <v>Lee County Health Department</v>
      </c>
      <c r="B78" s="12">
        <v>40312</v>
      </c>
      <c r="C78" s="13">
        <v>2</v>
      </c>
      <c r="D78" s="12">
        <v>43130</v>
      </c>
      <c r="E78" s="13" t="s">
        <v>405</v>
      </c>
      <c r="F78" s="13"/>
      <c r="G78" s="13" t="s">
        <v>405</v>
      </c>
      <c r="H78" s="13"/>
      <c r="I78" s="13"/>
      <c r="J78" s="13"/>
      <c r="K78" s="13"/>
      <c r="L78" s="13"/>
      <c r="M78" s="13"/>
      <c r="N78" s="13" t="s">
        <v>332</v>
      </c>
      <c r="O78" s="15" t="str">
        <f>HYPERLINK("mailto:Joseph.Redditt@fda.hhs.gov","Dan Redditt")</f>
        <v>Dan Redditt</v>
      </c>
    </row>
    <row r="79" spans="1:15" ht="30" x14ac:dyDescent="0.25">
      <c r="A79" s="6" t="str">
        <f>HYPERLINK("http://www.gachd.org/","Liberty County Health Department")</f>
        <v>Liberty County Health Department</v>
      </c>
      <c r="B79" s="7">
        <v>38953</v>
      </c>
      <c r="C79" s="8">
        <v>1</v>
      </c>
      <c r="D79" s="7">
        <v>40359</v>
      </c>
      <c r="E79" s="8" t="s">
        <v>406</v>
      </c>
      <c r="F79" s="8"/>
      <c r="G79" s="8"/>
      <c r="H79" s="8"/>
      <c r="I79" s="8"/>
      <c r="J79" s="8"/>
      <c r="K79" s="8" t="s">
        <v>406</v>
      </c>
      <c r="L79" s="8"/>
      <c r="M79" s="8"/>
      <c r="N79" s="9" t="str">
        <f>HYPERLINK("mailto:Brant.Phelps@dph.ga.gov","Brant Phelps")</f>
        <v>Brant Phelps</v>
      </c>
      <c r="O79" s="10" t="str">
        <f>HYPERLINK("mailto:Chris.Smith@fda.hhs.gov","Christopher Smith")</f>
        <v>Christopher Smith</v>
      </c>
    </row>
    <row r="80" spans="1:15" ht="30" x14ac:dyDescent="0.25">
      <c r="A80" s="11" t="str">
        <f>HYPERLINK("http://health.state.ga.us/regional/long/index.asp","Long County Health Department")</f>
        <v>Long County Health Department</v>
      </c>
      <c r="B80" s="12">
        <v>38953</v>
      </c>
      <c r="C80" s="13">
        <v>1</v>
      </c>
      <c r="D80" s="12">
        <v>41090</v>
      </c>
      <c r="E80" s="13" t="s">
        <v>406</v>
      </c>
      <c r="F80" s="13"/>
      <c r="G80" s="13"/>
      <c r="H80" s="13"/>
      <c r="I80" s="13"/>
      <c r="J80" s="13"/>
      <c r="K80" s="13" t="s">
        <v>406</v>
      </c>
      <c r="L80" s="13"/>
      <c r="M80" s="13"/>
      <c r="N80" s="14" t="str">
        <f>HYPERLINK("mailto:Brant.Phelps@dph.ga.gov","Brant Phelps")</f>
        <v>Brant Phelps</v>
      </c>
      <c r="O80" s="15" t="str">
        <f>HYPERLINK("mailto:Chris.Smith@fda.hhs.gov","Christopher Smith")</f>
        <v>Christopher Smith</v>
      </c>
    </row>
    <row r="81" spans="1:15" ht="30" x14ac:dyDescent="0.25">
      <c r="A81" s="6" t="str">
        <f>HYPERLINK("http://www.southhealthdistrict.com/","Lowndes County Health Department")</f>
        <v>Lowndes County Health Department</v>
      </c>
      <c r="B81" s="7">
        <v>38953</v>
      </c>
      <c r="C81" s="8">
        <v>1</v>
      </c>
      <c r="D81" s="7">
        <v>39687</v>
      </c>
      <c r="E81" s="8" t="s">
        <v>321</v>
      </c>
      <c r="F81" s="8"/>
      <c r="G81" s="8" t="s">
        <v>321</v>
      </c>
      <c r="H81" s="8"/>
      <c r="I81" s="8"/>
      <c r="J81" s="8"/>
      <c r="K81" s="8" t="s">
        <v>321</v>
      </c>
      <c r="L81" s="8"/>
      <c r="M81" s="8"/>
      <c r="N81" s="9" t="str">
        <f>HYPERLINK("mailto:chris.calhoun@dph.ga.gov","Chris Calhoun")</f>
        <v>Chris Calhoun</v>
      </c>
      <c r="O81" s="10" t="str">
        <f>HYPERLINK("mailto:Chris.Smith@fda.hhs.gov","Christopher Smith")</f>
        <v>Christopher Smith</v>
      </c>
    </row>
    <row r="82" spans="1:15" ht="30" x14ac:dyDescent="0.25">
      <c r="A82" s="11" t="str">
        <f>HYPERLINK("http://northcentralhealthdistrict.org/department/bibb-county-health-department/","Macon-Bibb County Health Department")</f>
        <v>Macon-Bibb County Health Department</v>
      </c>
      <c r="B82" s="12">
        <v>42295</v>
      </c>
      <c r="C82" s="13">
        <v>1</v>
      </c>
      <c r="D82" s="12">
        <v>42780</v>
      </c>
      <c r="E82" s="13" t="s">
        <v>316</v>
      </c>
      <c r="F82" s="13"/>
      <c r="G82" s="13"/>
      <c r="H82" s="13"/>
      <c r="I82" s="13"/>
      <c r="J82" s="13"/>
      <c r="K82" s="13"/>
      <c r="L82" s="13"/>
      <c r="M82" s="13"/>
      <c r="N82" s="14" t="str">
        <f>HYPERLINK("mailto:Tom.Baird@dph.ga.gov","Tom Baird")</f>
        <v>Tom Baird</v>
      </c>
      <c r="O82" s="15" t="str">
        <f>HYPERLINK("mailto:Chris.Smith@fda.hhs.gov","Christopher Smith")</f>
        <v>Christopher Smith</v>
      </c>
    </row>
    <row r="83" spans="1:15" ht="30" x14ac:dyDescent="0.25">
      <c r="A83" s="6" t="str">
        <f>HYPERLINK("http://www.publichealthathens.com/","Madison County Environmental Health")</f>
        <v>Madison County Environmental Health</v>
      </c>
      <c r="B83" s="7">
        <v>41046</v>
      </c>
      <c r="C83" s="8">
        <v>1</v>
      </c>
      <c r="D83" s="7">
        <v>41424</v>
      </c>
      <c r="E83" s="8" t="s">
        <v>342</v>
      </c>
      <c r="F83" s="8"/>
      <c r="G83" s="8"/>
      <c r="H83" s="8"/>
      <c r="I83" s="8"/>
      <c r="J83" s="8"/>
      <c r="K83" s="8"/>
      <c r="L83" s="8"/>
      <c r="M83" s="8"/>
      <c r="N83" s="9" t="str">
        <f>HYPERLINK("mailto:keli.hinson@dph.ga.gov","Keli Hinson")</f>
        <v>Keli Hinson</v>
      </c>
      <c r="O83" s="10" t="str">
        <f>HYPERLINK("mailto:Chris.Smith@fda.hhs.gov","Christopher Smith")</f>
        <v>Christopher Smith</v>
      </c>
    </row>
    <row r="84" spans="1:15" ht="30" x14ac:dyDescent="0.25">
      <c r="A84" s="11" t="str">
        <f>HYPERLINK("http://www.gachd.org/","McIntosh County Health Department")</f>
        <v>McIntosh County Health Department</v>
      </c>
      <c r="B84" s="12">
        <v>38953</v>
      </c>
      <c r="C84" s="13">
        <v>1</v>
      </c>
      <c r="D84" s="12">
        <v>40175</v>
      </c>
      <c r="E84" s="13"/>
      <c r="F84" s="13"/>
      <c r="G84" s="13"/>
      <c r="H84" s="13"/>
      <c r="I84" s="13"/>
      <c r="J84" s="13"/>
      <c r="K84" s="13" t="s">
        <v>334</v>
      </c>
      <c r="L84" s="13"/>
      <c r="M84" s="13"/>
      <c r="N84" s="13" t="s">
        <v>407</v>
      </c>
      <c r="O84" s="15" t="str">
        <f>HYPERLINK("mailto:Chris.Smith@fda.hhs.gov","Christopher Smith")</f>
        <v>Christopher Smith</v>
      </c>
    </row>
    <row r="85" spans="1:15" ht="30" x14ac:dyDescent="0.25">
      <c r="A85" s="6" t="str">
        <f>HYPERLINK("http://northcentralhealthdistrict.org/department/monroe-county-health-department/","Monroe County Health Department")</f>
        <v>Monroe County Health Department</v>
      </c>
      <c r="B85" s="7">
        <v>42295</v>
      </c>
      <c r="C85" s="8">
        <v>1</v>
      </c>
      <c r="D85" s="7">
        <v>42780</v>
      </c>
      <c r="E85" s="8" t="s">
        <v>316</v>
      </c>
      <c r="F85" s="8"/>
      <c r="G85" s="8"/>
      <c r="H85" s="8"/>
      <c r="I85" s="8"/>
      <c r="J85" s="8"/>
      <c r="K85" s="8"/>
      <c r="L85" s="8"/>
      <c r="M85" s="8"/>
      <c r="N85" s="9" t="str">
        <f>HYPERLINK("mailto:Tom.Baird@dph.ga.gov","Tom Baird")</f>
        <v>Tom Baird</v>
      </c>
      <c r="O85" s="10" t="str">
        <f>HYPERLINK("mailto:Chris.Smith@fda.hhs.gov","Christopher Smith")</f>
        <v>Christopher Smith</v>
      </c>
    </row>
    <row r="86" spans="1:15" ht="30" x14ac:dyDescent="0.25">
      <c r="A86" s="29" t="s">
        <v>408</v>
      </c>
      <c r="B86" s="12">
        <v>41046</v>
      </c>
      <c r="C86" s="13">
        <v>1</v>
      </c>
      <c r="D86" s="12">
        <v>41424</v>
      </c>
      <c r="E86" s="13" t="s">
        <v>342</v>
      </c>
      <c r="F86" s="13"/>
      <c r="G86" s="13"/>
      <c r="H86" s="13"/>
      <c r="I86" s="13"/>
      <c r="J86" s="13"/>
      <c r="K86" s="13"/>
      <c r="L86" s="13"/>
      <c r="M86" s="13"/>
      <c r="N86" s="14" t="str">
        <f>HYPERLINK("mailto:keli.hinson@dph.ga.gov","Keli Hinson")</f>
        <v>Keli Hinson</v>
      </c>
      <c r="O86" s="15" t="str">
        <f>HYPERLINK("mailto:Chris.Smith@fda.hhs.gov","Christopher Smith")</f>
        <v>Christopher Smith</v>
      </c>
    </row>
    <row r="87" spans="1:15" ht="30" x14ac:dyDescent="0.25">
      <c r="A87" s="6" t="str">
        <f>HYPERLINK("http://www.nghd.org/MurrayEnvironmental/","Murray County")</f>
        <v>Murray County</v>
      </c>
      <c r="B87" s="7">
        <v>41456</v>
      </c>
      <c r="C87" s="8">
        <v>1</v>
      </c>
      <c r="D87" s="8"/>
      <c r="E87" s="8"/>
      <c r="F87" s="8"/>
      <c r="G87" s="8"/>
      <c r="H87" s="8"/>
      <c r="I87" s="8"/>
      <c r="J87" s="8"/>
      <c r="K87" s="8"/>
      <c r="L87" s="8"/>
      <c r="M87" s="8"/>
      <c r="N87" s="9" t="str">
        <f>HYPERLINK("mailto:Amy.Grice@dph.ga.gov","Amy Grice")</f>
        <v>Amy Grice</v>
      </c>
      <c r="O87" s="10" t="str">
        <f>HYPERLINK("mailto:Chris.Smith@fda.hhs.gov","Christopher Smith")</f>
        <v>Christopher Smith</v>
      </c>
    </row>
    <row r="88" spans="1:15" ht="30" x14ac:dyDescent="0.25">
      <c r="A88" s="11" t="str">
        <f>HYPERLINK("https://westcentralhealthdistrict.com/counties/columbus/","Muscogee County Health Department")</f>
        <v>Muscogee County Health Department</v>
      </c>
      <c r="B88" s="12">
        <v>42541</v>
      </c>
      <c r="C88" s="13">
        <v>1</v>
      </c>
      <c r="D88" s="12">
        <v>42793</v>
      </c>
      <c r="E88" s="13" t="s">
        <v>409</v>
      </c>
      <c r="F88" s="13"/>
      <c r="G88" s="13"/>
      <c r="H88" s="13"/>
      <c r="I88" s="13"/>
      <c r="J88" s="13"/>
      <c r="K88" s="13"/>
      <c r="L88" s="13"/>
      <c r="M88" s="13"/>
      <c r="N88" s="14" t="str">
        <f>HYPERLINK("mailto:Kristi.ludy@dph.ga.gov","Kristi Ludy")</f>
        <v>Kristi Ludy</v>
      </c>
      <c r="O88" s="15" t="str">
        <f>HYPERLINK("mailto:Chris.Smith@fda.hhs.gov","Christopher Smith")</f>
        <v>Christopher Smith</v>
      </c>
    </row>
    <row r="89" spans="1:15" ht="30" x14ac:dyDescent="0.25">
      <c r="A89" s="6" t="str">
        <f>HYPERLINK("http://www.gnrhealth.com/locations/newton/environmental-health-deptartment","Newton County Environmental Health")</f>
        <v>Newton County Environmental Health</v>
      </c>
      <c r="B89" s="7">
        <v>38357</v>
      </c>
      <c r="C89" s="8">
        <v>1</v>
      </c>
      <c r="D89" s="7">
        <v>38779</v>
      </c>
      <c r="E89" s="8" t="s">
        <v>343</v>
      </c>
      <c r="F89" s="8"/>
      <c r="G89" s="8"/>
      <c r="H89" s="8"/>
      <c r="I89" s="8"/>
      <c r="J89" s="8"/>
      <c r="K89" s="8"/>
      <c r="L89" s="8"/>
      <c r="M89" s="8"/>
      <c r="N89" s="8" t="s">
        <v>386</v>
      </c>
      <c r="O89" s="10" t="str">
        <f>HYPERLINK("mailto:Chris.Smith@fda.hhs.gov","Christopher Smith")</f>
        <v>Christopher Smith</v>
      </c>
    </row>
    <row r="90" spans="1:15" ht="30" x14ac:dyDescent="0.25">
      <c r="A90" s="6" t="str">
        <f>HYPERLINK("http://www.gnrhealth.com/locations/newton/environmental-health-deptartment","Newton County Environmental Health")</f>
        <v>Newton County Environmental Health</v>
      </c>
      <c r="B90" s="7">
        <v>38357</v>
      </c>
      <c r="C90" s="8">
        <v>2</v>
      </c>
      <c r="D90" s="7">
        <v>41502</v>
      </c>
      <c r="E90" s="8"/>
      <c r="F90" s="8"/>
      <c r="G90" s="8" t="s">
        <v>410</v>
      </c>
      <c r="H90" s="8" t="s">
        <v>411</v>
      </c>
      <c r="I90" s="8"/>
      <c r="J90" s="8"/>
      <c r="K90" s="8" t="s">
        <v>412</v>
      </c>
      <c r="L90" s="8"/>
      <c r="M90" s="8"/>
      <c r="N90" s="8" t="s">
        <v>386</v>
      </c>
      <c r="O90" s="10" t="str">
        <f>HYPERLINK("mailto:Chris.Smith@fda.hhs.gov","Christopher Smith")</f>
        <v>Christopher Smith</v>
      </c>
    </row>
    <row r="91" spans="1:15" ht="30" x14ac:dyDescent="0.25">
      <c r="A91" s="6" t="str">
        <f>HYPERLINK("http://www.gnrhealth.com/locations/newton/environmental-health-deptartment","Newton County Environmental Health")</f>
        <v>Newton County Environmental Health</v>
      </c>
      <c r="B91" s="7">
        <v>38357</v>
      </c>
      <c r="C91" s="8">
        <v>3</v>
      </c>
      <c r="D91" s="7">
        <v>42187</v>
      </c>
      <c r="E91" s="8"/>
      <c r="F91" s="8"/>
      <c r="G91" s="8" t="s">
        <v>394</v>
      </c>
      <c r="H91" s="8" t="s">
        <v>394</v>
      </c>
      <c r="I91" s="8"/>
      <c r="J91" s="8" t="s">
        <v>396</v>
      </c>
      <c r="K91" s="8" t="s">
        <v>394</v>
      </c>
      <c r="L91" s="8"/>
      <c r="M91" s="8"/>
      <c r="N91" s="8" t="s">
        <v>386</v>
      </c>
      <c r="O91" s="10" t="str">
        <f>HYPERLINK("mailto:Chris.Smith@fda.hhs.gov","Christopher Smith")</f>
        <v>Christopher Smith</v>
      </c>
    </row>
    <row r="92" spans="1:15" ht="30" x14ac:dyDescent="0.25">
      <c r="A92" s="11" t="str">
        <f>HYPERLINK("http://www.publichealthathens.com/","Oconee County Environmental Health")</f>
        <v>Oconee County Environmental Health</v>
      </c>
      <c r="B92" s="12">
        <v>41046</v>
      </c>
      <c r="C92" s="13">
        <v>1</v>
      </c>
      <c r="D92" s="12">
        <v>41424</v>
      </c>
      <c r="E92" s="13" t="s">
        <v>342</v>
      </c>
      <c r="F92" s="13"/>
      <c r="G92" s="13"/>
      <c r="H92" s="13"/>
      <c r="I92" s="13"/>
      <c r="J92" s="13"/>
      <c r="K92" s="13"/>
      <c r="L92" s="13"/>
      <c r="M92" s="13"/>
      <c r="N92" s="14" t="str">
        <f>HYPERLINK("mailto:keli.hinson@dph.ga.gov","Keli Hinson")</f>
        <v>Keli Hinson</v>
      </c>
      <c r="O92" s="15" t="str">
        <f>HYPERLINK("mailto:Chris.Smith@fda.hhs.gov","Christopher Smith")</f>
        <v>Christopher Smith</v>
      </c>
    </row>
    <row r="93" spans="1:15" ht="30" x14ac:dyDescent="0.25">
      <c r="A93" s="6" t="str">
        <f>HYPERLINK("http://www.publichealthathens.com/","Oglethorpe County Environmental Health")</f>
        <v>Oglethorpe County Environmental Health</v>
      </c>
      <c r="B93" s="7">
        <v>41046</v>
      </c>
      <c r="C93" s="8">
        <v>1</v>
      </c>
      <c r="D93" s="7">
        <v>41424</v>
      </c>
      <c r="E93" s="8" t="s">
        <v>342</v>
      </c>
      <c r="F93" s="8"/>
      <c r="G93" s="8"/>
      <c r="H93" s="8"/>
      <c r="I93" s="8"/>
      <c r="J93" s="8"/>
      <c r="K93" s="8"/>
      <c r="L93" s="8"/>
      <c r="M93" s="8"/>
      <c r="N93" s="9" t="str">
        <f>HYPERLINK("mailto:keli.hinson@dph.ga.gov","Keli Hinson")</f>
        <v>Keli Hinson</v>
      </c>
      <c r="O93" s="10" t="str">
        <f>HYPERLINK("mailto:Chris.Smith@fda.hhs.gov","Christopher Smith")</f>
        <v>Christopher Smith</v>
      </c>
    </row>
    <row r="94" spans="1:15" ht="30" x14ac:dyDescent="0.25">
      <c r="A94" s="11" t="str">
        <f>HYPERLINK("http://www.nwgapublichealth.org/env/index.htm","Paulding County")</f>
        <v>Paulding County</v>
      </c>
      <c r="B94" s="12">
        <v>40722</v>
      </c>
      <c r="C94" s="13">
        <v>1</v>
      </c>
      <c r="D94" s="12">
        <v>41040</v>
      </c>
      <c r="E94" s="13" t="s">
        <v>317</v>
      </c>
      <c r="F94" s="13"/>
      <c r="G94" s="13"/>
      <c r="H94" s="13"/>
      <c r="I94" s="13"/>
      <c r="J94" s="13"/>
      <c r="K94" s="13"/>
      <c r="L94" s="13"/>
      <c r="M94" s="13"/>
      <c r="N94" s="14" t="str">
        <f>HYPERLINK("mailto:Tim.Allee@dph.ga.gov","Timothy Allee")</f>
        <v>Timothy Allee</v>
      </c>
      <c r="O94" s="15" t="str">
        <f>HYPERLINK("mailto:Chris.Smith@fda.hhs.gov","Christopher Smith")</f>
        <v>Christopher Smith</v>
      </c>
    </row>
    <row r="95" spans="1:15" ht="30" x14ac:dyDescent="0.25">
      <c r="A95" s="11" t="str">
        <f>HYPERLINK("http://www.nwgapublichealth.org/env/index.htm","Paulding County")</f>
        <v>Paulding County</v>
      </c>
      <c r="B95" s="12">
        <v>40722</v>
      </c>
      <c r="C95" s="13">
        <v>2</v>
      </c>
      <c r="D95" s="12">
        <v>42789</v>
      </c>
      <c r="E95" s="13" t="s">
        <v>318</v>
      </c>
      <c r="F95" s="13"/>
      <c r="G95" s="13" t="s">
        <v>319</v>
      </c>
      <c r="H95" s="13"/>
      <c r="I95" s="13"/>
      <c r="J95" s="13"/>
      <c r="K95" s="13" t="s">
        <v>320</v>
      </c>
      <c r="L95" s="13"/>
      <c r="M95" s="13"/>
      <c r="N95" s="14" t="str">
        <f>HYPERLINK("mailto:clay.tracy@dph.ga.gov","Clay Tracy")</f>
        <v>Clay Tracy</v>
      </c>
      <c r="O95" s="15" t="str">
        <f>HYPERLINK("mailto:Chris.Smith@fda.hhs.gov","Christopher Smith")</f>
        <v>Christopher Smith</v>
      </c>
    </row>
    <row r="96" spans="1:15" ht="30" x14ac:dyDescent="0.25">
      <c r="A96" s="6" t="str">
        <f>HYPERLINK("http://northcentralhealthdistrict.org/department/peach-county-health-department/","Peach County Health Department")</f>
        <v>Peach County Health Department</v>
      </c>
      <c r="B96" s="7">
        <v>42295</v>
      </c>
      <c r="C96" s="8">
        <v>1</v>
      </c>
      <c r="D96" s="7">
        <v>42780</v>
      </c>
      <c r="E96" s="8" t="s">
        <v>316</v>
      </c>
      <c r="F96" s="8"/>
      <c r="G96" s="8"/>
      <c r="H96" s="8"/>
      <c r="I96" s="8"/>
      <c r="J96" s="8"/>
      <c r="K96" s="8"/>
      <c r="L96" s="8"/>
      <c r="M96" s="8"/>
      <c r="N96" s="9" t="str">
        <f>HYPERLINK("mailto:Tom.Baird@dph.ga.gov","Tom Baird")</f>
        <v>Tom Baird</v>
      </c>
      <c r="O96" s="10" t="str">
        <f>HYPERLINK("mailto:Chris.Smith@fda.hhs.gov","Christopher Smith")</f>
        <v>Christopher Smith</v>
      </c>
    </row>
    <row r="97" spans="1:15" ht="30" x14ac:dyDescent="0.25">
      <c r="A97" s="11" t="str">
        <f>HYPERLINK("http://www.nghd.org/PickensEnvironmental/","Pickens County")</f>
        <v>Pickens County</v>
      </c>
      <c r="B97" s="12">
        <v>41456</v>
      </c>
      <c r="C97" s="13">
        <v>1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4" t="str">
        <f>HYPERLINK("mailto:Amy.Grice@dph.ga.gov","Amy Grice")</f>
        <v>Amy Grice</v>
      </c>
      <c r="O97" s="15" t="str">
        <f>HYPERLINK("mailto:Chris.Smith@fda.hhs.gov","Christopher Smith")</f>
        <v>Christopher Smith</v>
      </c>
    </row>
    <row r="98" spans="1:15" ht="30" x14ac:dyDescent="0.25">
      <c r="A98" s="6" t="str">
        <f>HYPERLINK("http://www.sehdph.org/pierce-county.htm","Pierce County Health Department")</f>
        <v>Pierce County Health Department</v>
      </c>
      <c r="B98" s="7">
        <v>41043</v>
      </c>
      <c r="C98" s="8">
        <v>1</v>
      </c>
      <c r="D98" s="7">
        <v>41339</v>
      </c>
      <c r="E98" s="8" t="s">
        <v>324</v>
      </c>
      <c r="F98" s="8"/>
      <c r="G98" s="8"/>
      <c r="H98" s="8"/>
      <c r="I98" s="8"/>
      <c r="J98" s="8"/>
      <c r="K98" s="8"/>
      <c r="L98" s="8"/>
      <c r="M98" s="8"/>
      <c r="N98" s="9" t="str">
        <f>HYPERLINK("mailto:tony.sapp","Tony Sapp")</f>
        <v>Tony Sapp</v>
      </c>
      <c r="O98" s="10" t="str">
        <f>HYPERLINK("mailto:Chris.Smith@fda.hhs.gov","Christopher Smith")</f>
        <v>Christopher Smith</v>
      </c>
    </row>
    <row r="99" spans="1:15" ht="30" x14ac:dyDescent="0.25">
      <c r="A99" s="29" t="s">
        <v>413</v>
      </c>
      <c r="B99" s="12">
        <v>40722</v>
      </c>
      <c r="C99" s="13">
        <v>1</v>
      </c>
      <c r="D99" s="12">
        <v>41040</v>
      </c>
      <c r="E99" s="13" t="s">
        <v>317</v>
      </c>
      <c r="F99" s="13"/>
      <c r="G99" s="13"/>
      <c r="H99" s="13"/>
      <c r="I99" s="13"/>
      <c r="J99" s="13"/>
      <c r="K99" s="13"/>
      <c r="L99" s="13"/>
      <c r="M99" s="13"/>
      <c r="N99" s="14" t="str">
        <f>HYPERLINK("mailto:Tim.Allee@dph.ga.gov","Timothy Allee")</f>
        <v>Timothy Allee</v>
      </c>
      <c r="O99" s="15" t="str">
        <f>HYPERLINK("mailto:Chris.Smith@fda.hhs.gov","Christopher Smith")</f>
        <v>Christopher Smith</v>
      </c>
    </row>
    <row r="100" spans="1:15" ht="30" x14ac:dyDescent="0.25">
      <c r="A100" s="29" t="s">
        <v>413</v>
      </c>
      <c r="B100" s="12">
        <v>40722</v>
      </c>
      <c r="C100" s="13">
        <v>2</v>
      </c>
      <c r="D100" s="12">
        <v>42789</v>
      </c>
      <c r="E100" s="13" t="s">
        <v>318</v>
      </c>
      <c r="F100" s="13"/>
      <c r="G100" s="13" t="s">
        <v>319</v>
      </c>
      <c r="H100" s="13"/>
      <c r="I100" s="13"/>
      <c r="J100" s="13"/>
      <c r="K100" s="13" t="s">
        <v>320</v>
      </c>
      <c r="L100" s="13"/>
      <c r="M100" s="13"/>
      <c r="N100" s="14" t="str">
        <f>HYPERLINK("mailto:clay.tracy@dph.ga.gov","Clay Tracy")</f>
        <v>Clay Tracy</v>
      </c>
      <c r="O100" s="15" t="str">
        <f>HYPERLINK("mailto:Chris.Smith@fda.hhs.gov","Christopher Smith")</f>
        <v>Christopher Smith</v>
      </c>
    </row>
    <row r="101" spans="1:15" ht="30" x14ac:dyDescent="0.25">
      <c r="A101" s="6" t="str">
        <f>HYPERLINK("http://northcentralhealthdistrict.org/department/putnam-county-health-department/","Putnam County Health Department")</f>
        <v>Putnam County Health Department</v>
      </c>
      <c r="B101" s="7">
        <v>42295</v>
      </c>
      <c r="C101" s="8">
        <v>1</v>
      </c>
      <c r="D101" s="7">
        <v>42780</v>
      </c>
      <c r="E101" s="8" t="s">
        <v>316</v>
      </c>
      <c r="F101" s="8"/>
      <c r="G101" s="8"/>
      <c r="H101" s="8"/>
      <c r="I101" s="8"/>
      <c r="J101" s="8"/>
      <c r="K101" s="8"/>
      <c r="L101" s="8"/>
      <c r="M101" s="8"/>
      <c r="N101" s="9" t="str">
        <f>HYPERLINK("mailto:Tom.Baird@dph.ga.gov","Tom Baird")</f>
        <v>Tom Baird</v>
      </c>
      <c r="O101" s="10" t="str">
        <f>HYPERLINK("mailto:Chris.Smith@fda.hhs.gov","Christopher Smith")</f>
        <v>Christopher Smith</v>
      </c>
    </row>
    <row r="102" spans="1:15" ht="30" x14ac:dyDescent="0.25">
      <c r="A102" s="11" t="str">
        <f>HYPERLINK("http://www.rockdalecounty.org/main.cfm?id=2293","Rockdale County Environmental Health")</f>
        <v>Rockdale County Environmental Health</v>
      </c>
      <c r="B102" s="12">
        <v>38357</v>
      </c>
      <c r="C102" s="13">
        <v>1</v>
      </c>
      <c r="D102" s="12">
        <v>38779</v>
      </c>
      <c r="E102" s="13" t="s">
        <v>414</v>
      </c>
      <c r="F102" s="13"/>
      <c r="G102" s="13"/>
      <c r="H102" s="13"/>
      <c r="I102" s="13"/>
      <c r="J102" s="13"/>
      <c r="K102" s="13"/>
      <c r="L102" s="13"/>
      <c r="M102" s="13"/>
      <c r="N102" s="13" t="s">
        <v>386</v>
      </c>
      <c r="O102" s="15" t="str">
        <f>HYPERLINK("mailto:Chris.Smith@fda.hhs.gov","Christopher Smith")</f>
        <v>Christopher Smith</v>
      </c>
    </row>
    <row r="103" spans="1:15" ht="30" x14ac:dyDescent="0.25">
      <c r="A103" s="11" t="str">
        <f>HYPERLINK("http://www.rockdalecounty.org/main.cfm?id=2293","Rockdale County Environmental Health")</f>
        <v>Rockdale County Environmental Health</v>
      </c>
      <c r="B103" s="12">
        <v>38357</v>
      </c>
      <c r="C103" s="13">
        <v>2</v>
      </c>
      <c r="D103" s="12">
        <v>41502</v>
      </c>
      <c r="E103" s="13"/>
      <c r="F103" s="13"/>
      <c r="G103" s="13" t="s">
        <v>415</v>
      </c>
      <c r="H103" s="13" t="s">
        <v>411</v>
      </c>
      <c r="I103" s="13"/>
      <c r="J103" s="13"/>
      <c r="K103" s="13" t="s">
        <v>412</v>
      </c>
      <c r="L103" s="13"/>
      <c r="M103" s="13"/>
      <c r="N103" s="13" t="s">
        <v>386</v>
      </c>
      <c r="O103" s="15" t="str">
        <f>HYPERLINK("mailto:Chris.Smith@fda.hhs.gov","Christopher Smith")</f>
        <v>Christopher Smith</v>
      </c>
    </row>
    <row r="104" spans="1:15" ht="30" x14ac:dyDescent="0.25">
      <c r="A104" s="11" t="str">
        <f>HYPERLINK("http://www.rockdalecounty.org/main.cfm?id=2293","Rockdale County Environmental Health")</f>
        <v>Rockdale County Environmental Health</v>
      </c>
      <c r="B104" s="12">
        <v>38357</v>
      </c>
      <c r="C104" s="13">
        <v>3</v>
      </c>
      <c r="D104" s="12">
        <v>42187</v>
      </c>
      <c r="E104" s="13"/>
      <c r="F104" s="13"/>
      <c r="G104" s="13" t="s">
        <v>394</v>
      </c>
      <c r="H104" s="13" t="s">
        <v>394</v>
      </c>
      <c r="I104" s="13"/>
      <c r="J104" s="13" t="s">
        <v>396</v>
      </c>
      <c r="K104" s="13" t="s">
        <v>394</v>
      </c>
      <c r="L104" s="13"/>
      <c r="M104" s="13"/>
      <c r="N104" s="13" t="s">
        <v>386</v>
      </c>
      <c r="O104" s="15" t="str">
        <f>HYPERLINK("mailto:Chris.Smith@fda.hhs.gov","Christopher Smith")</f>
        <v>Christopher Smith</v>
      </c>
    </row>
    <row r="105" spans="1:15" ht="30" x14ac:dyDescent="0.25">
      <c r="A105" s="6" t="str">
        <f>HYPERLINK("http://www.sehdph.org/tatnall-county.htm","Tattnall County Health Department")</f>
        <v>Tattnall County Health Department</v>
      </c>
      <c r="B105" s="7">
        <v>41047</v>
      </c>
      <c r="C105" s="8">
        <v>1</v>
      </c>
      <c r="D105" s="7">
        <v>41480</v>
      </c>
      <c r="E105" s="8" t="s">
        <v>416</v>
      </c>
      <c r="F105" s="8"/>
      <c r="G105" s="8"/>
      <c r="H105" s="8"/>
      <c r="I105" s="8"/>
      <c r="J105" s="8"/>
      <c r="K105" s="8"/>
      <c r="L105" s="8"/>
      <c r="M105" s="8"/>
      <c r="N105" s="9" t="str">
        <f>HYPERLINK("mailto:Dwain.Butler@dph.ga.gov","Dwain Butler")</f>
        <v>Dwain Butler</v>
      </c>
      <c r="O105" s="10" t="str">
        <f>HYPERLINK("mailto:Chris.Smith@fda.hhs.gov","Christopher Smith")</f>
        <v>Christopher Smith</v>
      </c>
    </row>
    <row r="106" spans="1:15" ht="30" x14ac:dyDescent="0.25">
      <c r="A106" s="11" t="str">
        <f>HYPERLINK("http://rtn.darton.edu/phirn/districts/terrell/-terrell.htm","Terrell County Health Department")</f>
        <v>Terrell County Health Department</v>
      </c>
      <c r="B106" s="12">
        <v>40312</v>
      </c>
      <c r="C106" s="13">
        <v>1</v>
      </c>
      <c r="D106" s="12">
        <v>40453</v>
      </c>
      <c r="E106" s="13" t="s">
        <v>330</v>
      </c>
      <c r="F106" s="13"/>
      <c r="G106" s="13" t="s">
        <v>331</v>
      </c>
      <c r="H106" s="13"/>
      <c r="I106" s="13"/>
      <c r="J106" s="13"/>
      <c r="K106" s="13"/>
      <c r="L106" s="13"/>
      <c r="M106" s="13"/>
      <c r="N106" s="13" t="s">
        <v>332</v>
      </c>
      <c r="O106" s="15" t="str">
        <f>HYPERLINK("mailto:Chris.Smith@fda.hhs.gov","Christopher Smith")</f>
        <v>Christopher Smith</v>
      </c>
    </row>
    <row r="107" spans="1:15" ht="30" x14ac:dyDescent="0.25">
      <c r="A107" s="6" t="str">
        <f>HYPERLINK("http://rtn.darton.edu/phirn/districts/thomas/-thomas.htm","Thomas County Health Department")</f>
        <v>Thomas County Health Department</v>
      </c>
      <c r="B107" s="7">
        <v>40696</v>
      </c>
      <c r="C107" s="8">
        <v>1</v>
      </c>
      <c r="D107" s="7">
        <v>41058</v>
      </c>
      <c r="E107" s="8" t="s">
        <v>417</v>
      </c>
      <c r="F107" s="8"/>
      <c r="G107" s="8"/>
      <c r="H107" s="8"/>
      <c r="I107" s="8"/>
      <c r="J107" s="8"/>
      <c r="K107" s="8"/>
      <c r="L107" s="8"/>
      <c r="M107" s="8"/>
      <c r="N107" s="8" t="s">
        <v>418</v>
      </c>
      <c r="O107" s="10" t="str">
        <f>HYPERLINK("mailto:Chris.Smith@fda.hhs.gov","Christopher Smith")</f>
        <v>Christopher Smith</v>
      </c>
    </row>
    <row r="108" spans="1:15" ht="30" x14ac:dyDescent="0.25">
      <c r="A108" s="11" t="str">
        <f>HYPERLINK("http://www.southhealthdistrict.com/","Tift County Health Department")</f>
        <v>Tift County Health Department</v>
      </c>
      <c r="B108" s="12">
        <v>40696</v>
      </c>
      <c r="C108" s="13">
        <v>1</v>
      </c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 t="s">
        <v>419</v>
      </c>
      <c r="O108" s="15" t="str">
        <f>HYPERLINK("mailto:Chris.Smith@fda.hhs.gov","Christopher Smith")</f>
        <v>Christopher Smith</v>
      </c>
    </row>
    <row r="109" spans="1:15" ht="30" x14ac:dyDescent="0.25">
      <c r="A109" s="6" t="str">
        <f>HYPERLINK("http://www.sehdph.org/environmental.htm","Toombs County Health Department")</f>
        <v>Toombs County Health Department</v>
      </c>
      <c r="B109" s="7">
        <v>40716</v>
      </c>
      <c r="C109" s="8">
        <v>1</v>
      </c>
      <c r="D109" s="7">
        <v>41051</v>
      </c>
      <c r="E109" s="8"/>
      <c r="F109" s="8"/>
      <c r="G109" s="8"/>
      <c r="H109" s="8"/>
      <c r="I109" s="8"/>
      <c r="J109" s="8"/>
      <c r="K109" s="8"/>
      <c r="L109" s="8"/>
      <c r="M109" s="8"/>
      <c r="N109" s="9" t="str">
        <f>HYPERLINK("mailto:Dwain.Butler@dph.ga.gov","Dwain Butler")</f>
        <v>Dwain Butler</v>
      </c>
      <c r="O109" s="10" t="str">
        <f>HYPERLINK("mailto:Chris.Smith@fda.hhs.gov","Christopher Smith")</f>
        <v>Christopher Smith</v>
      </c>
    </row>
    <row r="110" spans="1:15" ht="30" x14ac:dyDescent="0.25">
      <c r="A110" s="11" t="str">
        <f>HYPERLINK("http://www.southhealthdistrict.com/","Turner County Health Department")</f>
        <v>Turner County Health Department</v>
      </c>
      <c r="B110" s="12">
        <v>39160</v>
      </c>
      <c r="C110" s="13">
        <v>1</v>
      </c>
      <c r="D110" s="12">
        <v>39687</v>
      </c>
      <c r="E110" s="13" t="s">
        <v>321</v>
      </c>
      <c r="F110" s="13"/>
      <c r="G110" s="13" t="s">
        <v>321</v>
      </c>
      <c r="H110" s="13"/>
      <c r="I110" s="13"/>
      <c r="J110" s="13"/>
      <c r="K110" s="13"/>
      <c r="L110" s="13"/>
      <c r="M110" s="13"/>
      <c r="N110" s="13" t="s">
        <v>420</v>
      </c>
      <c r="O110" s="15" t="str">
        <f>HYPERLINK("mailto:Chris.Smith@fda.hhs.gov","Christopher Smith")</f>
        <v>Christopher Smith</v>
      </c>
    </row>
    <row r="111" spans="1:15" ht="30" x14ac:dyDescent="0.25">
      <c r="A111" s="6" t="str">
        <f>HYPERLINK("http://northcentralhealthdistrict.org/department/twiggs-county-health-department/","Twiggs County Health Department")</f>
        <v>Twiggs County Health Department</v>
      </c>
      <c r="B111" s="7">
        <v>42295</v>
      </c>
      <c r="C111" s="8">
        <v>1</v>
      </c>
      <c r="D111" s="7">
        <v>42780</v>
      </c>
      <c r="E111" s="8" t="s">
        <v>316</v>
      </c>
      <c r="F111" s="8"/>
      <c r="G111" s="8"/>
      <c r="H111" s="8"/>
      <c r="I111" s="8"/>
      <c r="J111" s="8"/>
      <c r="K111" s="8"/>
      <c r="L111" s="8"/>
      <c r="M111" s="8"/>
      <c r="N111" s="9" t="str">
        <f>HYPERLINK("mailto:Tom.Baird@dph.ga.gov","Tom Baird")</f>
        <v>Tom Baird</v>
      </c>
      <c r="O111" s="10" t="str">
        <f>HYPERLINK("mailto:Chris.Smith@fda.hhs.gov","Christopher Smith")</f>
        <v>Christopher Smith</v>
      </c>
    </row>
    <row r="112" spans="1:15" ht="30" x14ac:dyDescent="0.25">
      <c r="A112" s="11" t="str">
        <f>HYPERLINK("http://www.nwgapublichealth.org/env/index.htm","Walker County")</f>
        <v>Walker County</v>
      </c>
      <c r="B112" s="12">
        <v>40722</v>
      </c>
      <c r="C112" s="13">
        <v>1</v>
      </c>
      <c r="D112" s="12">
        <v>41040</v>
      </c>
      <c r="E112" s="13" t="s">
        <v>317</v>
      </c>
      <c r="F112" s="13"/>
      <c r="G112" s="13"/>
      <c r="H112" s="13"/>
      <c r="I112" s="13"/>
      <c r="J112" s="13"/>
      <c r="K112" s="13"/>
      <c r="L112" s="13"/>
      <c r="M112" s="13"/>
      <c r="N112" s="14" t="str">
        <f>HYPERLINK("mailto:Tim.Allee@dph.ga.gov","Timothy Allee")</f>
        <v>Timothy Allee</v>
      </c>
      <c r="O112" s="15" t="str">
        <f>HYPERLINK("mailto:Chris.Smith@fda.hhs.gov","Christopher Smith")</f>
        <v>Christopher Smith</v>
      </c>
    </row>
    <row r="113" spans="1:15" ht="30" x14ac:dyDescent="0.25">
      <c r="A113" s="11" t="str">
        <f>HYPERLINK("http://www.nwgapublichealth.org/env/index.htm","Walker County")</f>
        <v>Walker County</v>
      </c>
      <c r="B113" s="12">
        <v>40722</v>
      </c>
      <c r="C113" s="13">
        <v>2</v>
      </c>
      <c r="D113" s="12">
        <v>42789</v>
      </c>
      <c r="E113" s="13" t="s">
        <v>318</v>
      </c>
      <c r="F113" s="13"/>
      <c r="G113" s="13" t="s">
        <v>421</v>
      </c>
      <c r="H113" s="13"/>
      <c r="I113" s="13"/>
      <c r="J113" s="13" t="s">
        <v>422</v>
      </c>
      <c r="K113" s="13" t="s">
        <v>320</v>
      </c>
      <c r="L113" s="13"/>
      <c r="M113" s="13"/>
      <c r="N113" s="14" t="str">
        <f>HYPERLINK("mailto:clay.tracy@dph.ga.gov","Clay Tracy")</f>
        <v>Clay Tracy</v>
      </c>
      <c r="O113" s="15" t="str">
        <f>HYPERLINK("mailto:Chris.Smith@fda.hhs.gov","Christopher Smith")</f>
        <v>Christopher Smith</v>
      </c>
    </row>
    <row r="114" spans="1:15" ht="30" x14ac:dyDescent="0.25">
      <c r="A114" s="6" t="str">
        <f>HYPERLINK("http://www.publichealthathens.com/","Walton County Environmental Health")</f>
        <v>Walton County Environmental Health</v>
      </c>
      <c r="B114" s="7">
        <v>41046</v>
      </c>
      <c r="C114" s="8">
        <v>1</v>
      </c>
      <c r="D114" s="7">
        <v>41424</v>
      </c>
      <c r="E114" s="8" t="s">
        <v>342</v>
      </c>
      <c r="F114" s="8"/>
      <c r="G114" s="8"/>
      <c r="H114" s="8"/>
      <c r="I114" s="8"/>
      <c r="J114" s="8"/>
      <c r="K114" s="8"/>
      <c r="L114" s="8"/>
      <c r="M114" s="8"/>
      <c r="N114" s="9" t="str">
        <f>HYPERLINK("mailto:keli.hinson@dph.ga.gov","Keli Hinson")</f>
        <v>Keli Hinson</v>
      </c>
      <c r="O114" s="10" t="str">
        <f>HYPERLINK("mailto:Chris.Smith@fda.hhs.gov","Christopher Smith")</f>
        <v>Christopher Smith</v>
      </c>
    </row>
    <row r="115" spans="1:15" ht="30" x14ac:dyDescent="0.25">
      <c r="A115" s="11" t="str">
        <f>HYPERLINK("http://www.sehdph.org/environmental.htm","Ware County")</f>
        <v>Ware County</v>
      </c>
      <c r="B115" s="12">
        <v>40722</v>
      </c>
      <c r="C115" s="13">
        <v>1</v>
      </c>
      <c r="D115" s="12">
        <v>41467</v>
      </c>
      <c r="E115" s="13" t="s">
        <v>315</v>
      </c>
      <c r="F115" s="13"/>
      <c r="G115" s="13"/>
      <c r="H115" s="13"/>
      <c r="I115" s="13"/>
      <c r="J115" s="13"/>
      <c r="K115" s="13"/>
      <c r="L115" s="13"/>
      <c r="M115" s="13"/>
      <c r="N115" s="14" t="str">
        <f>HYPERLINK("mailto:Dwain.Butler@dph.ga.gov","Dwain Butler")</f>
        <v>Dwain Butler</v>
      </c>
      <c r="O115" s="15" t="str">
        <f>HYPERLINK("mailto:Chris.Smith@fda.hhs.gov","Christopher Smith")</f>
        <v>Christopher Smith</v>
      </c>
    </row>
    <row r="116" spans="1:15" ht="30" x14ac:dyDescent="0.25">
      <c r="A116" s="6" t="str">
        <f>HYPERLINK("http://northcentralhealthdistrict.org/department/washington-county-health-department/","Washington County Health Department")</f>
        <v>Washington County Health Department</v>
      </c>
      <c r="B116" s="7">
        <v>42295</v>
      </c>
      <c r="C116" s="8">
        <v>1</v>
      </c>
      <c r="D116" s="7">
        <v>42780</v>
      </c>
      <c r="E116" s="8" t="s">
        <v>316</v>
      </c>
      <c r="F116" s="8"/>
      <c r="G116" s="8"/>
      <c r="H116" s="8"/>
      <c r="I116" s="8"/>
      <c r="J116" s="8"/>
      <c r="K116" s="8"/>
      <c r="L116" s="8"/>
      <c r="M116" s="8"/>
      <c r="N116" s="9" t="str">
        <f>HYPERLINK("mailto:Tom.Baird@dph.ga.gov","Tom Baird")</f>
        <v>Tom Baird</v>
      </c>
      <c r="O116" s="10" t="str">
        <f>HYPERLINK("mailto:Chris.Smith@fda.hhs.gov","Christopher Smith")</f>
        <v>Christopher Smith</v>
      </c>
    </row>
    <row r="117" spans="1:15" ht="30" x14ac:dyDescent="0.25">
      <c r="A117" s="29" t="s">
        <v>423</v>
      </c>
      <c r="B117" s="12">
        <v>41045</v>
      </c>
      <c r="C117" s="13">
        <v>1</v>
      </c>
      <c r="D117" s="12">
        <v>41379</v>
      </c>
      <c r="E117" s="13" t="s">
        <v>424</v>
      </c>
      <c r="F117" s="13"/>
      <c r="G117" s="13"/>
      <c r="H117" s="13"/>
      <c r="I117" s="13"/>
      <c r="J117" s="13"/>
      <c r="K117" s="13"/>
      <c r="L117" s="13"/>
      <c r="M117" s="13"/>
      <c r="N117" s="14" t="str">
        <f>HYPERLINK("mailto:Dwain.Butler@dph.ga.gov","Dwain Butler")</f>
        <v>Dwain Butler</v>
      </c>
      <c r="O117" s="15" t="str">
        <f>HYPERLINK("mailto:Chris.Smith@fda.hhs.gov","Christopher Smith")</f>
        <v>Christopher Smith</v>
      </c>
    </row>
    <row r="118" spans="1:15" ht="30" x14ac:dyDescent="0.25">
      <c r="A118" s="6" t="str">
        <f>HYPERLINK("http://www.nghd.org/WhitfieldEnvironmental/","Whitfield County")</f>
        <v>Whitfield County</v>
      </c>
      <c r="B118" s="7">
        <v>41456</v>
      </c>
      <c r="C118" s="8">
        <v>1</v>
      </c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9" t="str">
        <f>HYPERLINK("mailto:Amy.Grice@dph.ga.gov","Amy Grice")</f>
        <v>Amy Grice</v>
      </c>
      <c r="O118" s="10" t="str">
        <f>HYPERLINK("mailto:Chris.Smith@fda.hhs.gov","Christopher Smith")</f>
        <v>Christopher Smith</v>
      </c>
    </row>
    <row r="119" spans="1:15" ht="30" x14ac:dyDescent="0.25">
      <c r="A119" s="22" t="str">
        <f>HYPERLINK("http://northcentralhealthdistrict.org/department/wilkinson-county-health-department/","Wilkinson County Health Department")</f>
        <v>Wilkinson County Health Department</v>
      </c>
      <c r="B119" s="23">
        <v>42295</v>
      </c>
      <c r="C119" s="24">
        <v>1</v>
      </c>
      <c r="D119" s="23">
        <v>42780</v>
      </c>
      <c r="E119" s="24" t="s">
        <v>316</v>
      </c>
      <c r="F119" s="24"/>
      <c r="G119" s="24"/>
      <c r="H119" s="24"/>
      <c r="I119" s="24"/>
      <c r="J119" s="24"/>
      <c r="K119" s="24"/>
      <c r="L119" s="24"/>
      <c r="M119" s="24"/>
      <c r="N119" s="25" t="str">
        <f>HYPERLINK("mailto:Tom.Baird@dph.ga.gov","Tom Baird")</f>
        <v>Tom Baird</v>
      </c>
      <c r="O119" s="26" t="str">
        <f>HYPERLINK("mailto:Chris.Smith@fda.hhs.gov","Christopher Smith")</f>
        <v>Christopher Smith</v>
      </c>
    </row>
  </sheetData>
  <pageMargins left="0.15" right="0.15" top="0.25" bottom="0.25" header="0.05" footer="0.05"/>
  <pageSetup orientation="landscape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D40DA-8C9F-4B7A-9662-5DE99AF21719}">
  <sheetPr>
    <pageSetUpPr fitToPage="1"/>
  </sheetPr>
  <dimension ref="A1:O4"/>
  <sheetViews>
    <sheetView workbookViewId="0"/>
  </sheetViews>
  <sheetFormatPr defaultRowHeight="15" x14ac:dyDescent="0.25"/>
  <cols>
    <col min="1" max="1" width="33.7109375" customWidth="1"/>
    <col min="2" max="2" width="14.85546875" customWidth="1"/>
    <col min="3" max="3" width="18.42578125" customWidth="1"/>
    <col min="4" max="4" width="22" customWidth="1"/>
    <col min="5" max="13" width="17.28515625" customWidth="1"/>
    <col min="14" max="14" width="14.85546875" customWidth="1"/>
    <col min="15" max="15" width="13.140625" customWidth="1"/>
  </cols>
  <sheetData>
    <row r="1" spans="1:15" x14ac:dyDescent="0.25">
      <c r="A1" t="s">
        <v>428</v>
      </c>
      <c r="B1" s="2" t="str">
        <f>HYPERLINK("#Introduction!A1","Back to Introduction Page")</f>
        <v>Back to Introduction Page</v>
      </c>
    </row>
    <row r="2" spans="1:15" x14ac:dyDescent="0.25">
      <c r="A2" s="21" t="s">
        <v>429</v>
      </c>
    </row>
    <row r="3" spans="1:15" ht="45" x14ac:dyDescent="0.25">
      <c r="A3" s="4" t="s">
        <v>15</v>
      </c>
      <c r="B3" s="3" t="s">
        <v>16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21</v>
      </c>
      <c r="H3" s="3" t="s">
        <v>22</v>
      </c>
      <c r="I3" s="3" t="s">
        <v>23</v>
      </c>
      <c r="J3" s="3" t="s">
        <v>24</v>
      </c>
      <c r="K3" s="3" t="s">
        <v>25</v>
      </c>
      <c r="L3" s="3" t="s">
        <v>26</v>
      </c>
      <c r="M3" s="3" t="s">
        <v>27</v>
      </c>
      <c r="N3" s="3" t="s">
        <v>28</v>
      </c>
      <c r="O3" s="5" t="s">
        <v>29</v>
      </c>
    </row>
    <row r="4" spans="1:15" ht="30" x14ac:dyDescent="0.25">
      <c r="A4" s="27" t="s">
        <v>427</v>
      </c>
      <c r="B4" s="17">
        <v>37160</v>
      </c>
      <c r="C4" s="18">
        <v>1</v>
      </c>
      <c r="D4" s="17">
        <v>37679</v>
      </c>
      <c r="E4" s="18"/>
      <c r="F4" s="18"/>
      <c r="G4" s="18"/>
      <c r="H4" s="18"/>
      <c r="I4" s="18"/>
      <c r="J4" s="18"/>
      <c r="K4" s="18"/>
      <c r="L4" s="18"/>
      <c r="M4" s="18"/>
      <c r="N4" s="19" t="str">
        <f>HYPERLINK("mailto:Katherine.Delmundo@dphss.guam.gov","Katherine Del Mundo")</f>
        <v>Katherine Del Mundo</v>
      </c>
      <c r="O4" s="20" t="str">
        <f>HYPERLINK("mailto:Richard.Ramirez@fda.hhs.gov","Richard Ramirez")</f>
        <v>Richard Ramirez</v>
      </c>
    </row>
  </sheetData>
  <pageMargins left="0.15" right="0.15" top="0.25" bottom="0.25" header="0.05" footer="0.05"/>
  <pageSetup orientation="landscape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CD9B3-271F-4E6A-8A50-63CB6258E73C}">
  <sheetPr>
    <pageSetUpPr fitToPage="1"/>
  </sheetPr>
  <dimension ref="A1:O12"/>
  <sheetViews>
    <sheetView workbookViewId="0"/>
  </sheetViews>
  <sheetFormatPr defaultRowHeight="15" x14ac:dyDescent="0.25"/>
  <cols>
    <col min="1" max="1" width="33.7109375" customWidth="1"/>
    <col min="2" max="2" width="14.85546875" customWidth="1"/>
    <col min="3" max="3" width="18.42578125" customWidth="1"/>
    <col min="4" max="4" width="22" customWidth="1"/>
    <col min="5" max="13" width="17.28515625" customWidth="1"/>
    <col min="14" max="14" width="14.85546875" customWidth="1"/>
    <col min="15" max="15" width="13.140625" customWidth="1"/>
  </cols>
  <sheetData>
    <row r="1" spans="1:15" x14ac:dyDescent="0.25">
      <c r="A1" t="s">
        <v>443</v>
      </c>
      <c r="B1" s="2" t="str">
        <f>HYPERLINK("#Introduction!A1","Back to Introduction Page")</f>
        <v>Back to Introduction Page</v>
      </c>
    </row>
    <row r="2" spans="1:15" x14ac:dyDescent="0.25">
      <c r="A2" s="21" t="s">
        <v>444</v>
      </c>
    </row>
    <row r="3" spans="1:15" ht="45" x14ac:dyDescent="0.25">
      <c r="A3" s="4" t="s">
        <v>15</v>
      </c>
      <c r="B3" s="3" t="s">
        <v>16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21</v>
      </c>
      <c r="H3" s="3" t="s">
        <v>22</v>
      </c>
      <c r="I3" s="3" t="s">
        <v>23</v>
      </c>
      <c r="J3" s="3" t="s">
        <v>24</v>
      </c>
      <c r="K3" s="3" t="s">
        <v>25</v>
      </c>
      <c r="L3" s="3" t="s">
        <v>26</v>
      </c>
      <c r="M3" s="3" t="s">
        <v>27</v>
      </c>
      <c r="N3" s="3" t="s">
        <v>28</v>
      </c>
      <c r="O3" s="5" t="s">
        <v>29</v>
      </c>
    </row>
    <row r="4" spans="1:15" ht="60" x14ac:dyDescent="0.25">
      <c r="A4" s="6" t="str">
        <f>HYPERLINK("http:health.hawaii.gov/big-island/home/eh/","Hawaii District Health Office/Environmental Protection &amp; Health Services/Sanitation")</f>
        <v>Hawaii District Health Office/Environmental Protection &amp; Health Services/Sanitation</v>
      </c>
      <c r="B4" s="7">
        <v>37165</v>
      </c>
      <c r="C4" s="8">
        <v>1</v>
      </c>
      <c r="D4" s="7">
        <v>37461</v>
      </c>
      <c r="E4" s="8"/>
      <c r="F4" s="8" t="s">
        <v>430</v>
      </c>
      <c r="G4" s="8"/>
      <c r="H4" s="8"/>
      <c r="I4" s="8"/>
      <c r="J4" s="8"/>
      <c r="K4" s="8" t="s">
        <v>430</v>
      </c>
      <c r="L4" s="8"/>
      <c r="M4" s="8"/>
      <c r="N4" s="9" t="str">
        <f>HYPERLINK("mailto:Eric.Honda@doh.hawaii.gov","Eric Honda")</f>
        <v>Eric Honda</v>
      </c>
      <c r="O4" s="10" t="str">
        <f>HYPERLINK("mailto:Lisa.Whitlock@fda.hhs.gov","Lisa Whitlock")</f>
        <v>Lisa Whitlock</v>
      </c>
    </row>
    <row r="5" spans="1:15" ht="60" x14ac:dyDescent="0.25">
      <c r="A5" s="6" t="str">
        <f>HYPERLINK("http:health.hawaii.gov/big-island/home/eh/","Hawaii District Health Office/Environmental Protection &amp; Health Services/Sanitation")</f>
        <v>Hawaii District Health Office/Environmental Protection &amp; Health Services/Sanitation</v>
      </c>
      <c r="B5" s="7">
        <v>37165</v>
      </c>
      <c r="C5" s="8">
        <v>2</v>
      </c>
      <c r="D5" s="7">
        <v>41758</v>
      </c>
      <c r="E5" s="8" t="s">
        <v>431</v>
      </c>
      <c r="F5" s="8"/>
      <c r="G5" s="8"/>
      <c r="H5" s="8"/>
      <c r="I5" s="8" t="s">
        <v>432</v>
      </c>
      <c r="J5" s="8"/>
      <c r="K5" s="8" t="s">
        <v>433</v>
      </c>
      <c r="L5" s="8"/>
      <c r="M5" s="8"/>
      <c r="N5" s="9" t="str">
        <f>HYPERLINK("mailto:Eric.Honda@doh.hawaii.gov","Eric Honda")</f>
        <v>Eric Honda</v>
      </c>
      <c r="O5" s="10" t="str">
        <f>HYPERLINK("mailto:Lisa.Whitlock@fda.hhs.gov","Lisa Whitlock")</f>
        <v>Lisa Whitlock</v>
      </c>
    </row>
    <row r="6" spans="1:15" ht="30" x14ac:dyDescent="0.25">
      <c r="A6" s="29" t="s">
        <v>434</v>
      </c>
      <c r="B6" s="12">
        <v>38503</v>
      </c>
      <c r="C6" s="13">
        <v>1</v>
      </c>
      <c r="D6" s="12">
        <v>38503</v>
      </c>
      <c r="E6" s="13"/>
      <c r="F6" s="13"/>
      <c r="G6" s="13"/>
      <c r="H6" s="13"/>
      <c r="I6" s="13"/>
      <c r="J6" s="13"/>
      <c r="K6" s="13" t="s">
        <v>435</v>
      </c>
      <c r="L6" s="13"/>
      <c r="M6" s="13"/>
      <c r="N6" s="14" t="str">
        <f>HYPERLINK("mailto:Peter.Oshiro@doh.hawaii.gov","Peter Oshiro")</f>
        <v>Peter Oshiro</v>
      </c>
      <c r="O6" s="15" t="str">
        <f>HYPERLINK("mailto:Lisa.Whitlock@fda.hhs.gov","Lisa Whitlock")</f>
        <v>Lisa Whitlock</v>
      </c>
    </row>
    <row r="7" spans="1:15" ht="30" x14ac:dyDescent="0.25">
      <c r="A7" s="29" t="s">
        <v>434</v>
      </c>
      <c r="B7" s="12">
        <v>38503</v>
      </c>
      <c r="C7" s="13">
        <v>2</v>
      </c>
      <c r="D7" s="12">
        <v>41277</v>
      </c>
      <c r="E7" s="13" t="s">
        <v>436</v>
      </c>
      <c r="F7" s="13"/>
      <c r="G7" s="13" t="s">
        <v>437</v>
      </c>
      <c r="H7" s="13"/>
      <c r="I7" s="13"/>
      <c r="J7" s="13"/>
      <c r="K7" s="13" t="s">
        <v>437</v>
      </c>
      <c r="L7" s="13"/>
      <c r="M7" s="13"/>
      <c r="N7" s="14" t="str">
        <f>HYPERLINK("mailto:Peter.Oshiro@doh.hawaii.gov","Peter Oshiro")</f>
        <v>Peter Oshiro</v>
      </c>
      <c r="O7" s="15" t="str">
        <f>HYPERLINK("mailto:Lisa.Whitlock@fda.hhs.gov","Lisa Whitlock")</f>
        <v>Lisa Whitlock</v>
      </c>
    </row>
    <row r="8" spans="1:15" ht="30" x14ac:dyDescent="0.25">
      <c r="A8" s="29" t="s">
        <v>434</v>
      </c>
      <c r="B8" s="12">
        <v>38503</v>
      </c>
      <c r="C8" s="13">
        <v>3</v>
      </c>
      <c r="D8" s="12">
        <v>43258</v>
      </c>
      <c r="E8" s="13" t="s">
        <v>438</v>
      </c>
      <c r="F8" s="13"/>
      <c r="G8" s="13" t="s">
        <v>438</v>
      </c>
      <c r="H8" s="13"/>
      <c r="I8" s="13"/>
      <c r="J8" s="13"/>
      <c r="K8" s="13" t="s">
        <v>438</v>
      </c>
      <c r="L8" s="13" t="s">
        <v>438</v>
      </c>
      <c r="M8" s="13"/>
      <c r="N8" s="14" t="str">
        <f>HYPERLINK("mailto:Peter.Oshiro@doh.hawaii.gov","Peter Oshiro")</f>
        <v>Peter Oshiro</v>
      </c>
      <c r="O8" s="15" t="str">
        <f>HYPERLINK("mailto:Lisa.Whitlock@fda.hhs.gov","Lisa Whitlock")</f>
        <v>Lisa Whitlock</v>
      </c>
    </row>
    <row r="9" spans="1:15" ht="45" x14ac:dyDescent="0.25">
      <c r="A9" s="6" t="str">
        <f>HYPERLINK("http://health.hawaii.gov/kauai/","Kauai District Health Office/Environmental Health Services")</f>
        <v>Kauai District Health Office/Environmental Health Services</v>
      </c>
      <c r="B9" s="7">
        <v>38460</v>
      </c>
      <c r="C9" s="8">
        <v>1</v>
      </c>
      <c r="D9" s="7">
        <v>38460</v>
      </c>
      <c r="E9" s="8"/>
      <c r="F9" s="8"/>
      <c r="G9" s="8"/>
      <c r="H9" s="8"/>
      <c r="I9" s="8"/>
      <c r="J9" s="8"/>
      <c r="K9" s="8" t="s">
        <v>439</v>
      </c>
      <c r="L9" s="8"/>
      <c r="M9" s="8"/>
      <c r="N9" s="9" t="str">
        <f>HYPERLINK("mailto:gerald.takamura@doh.hawaii.gov","Gerald Takamura")</f>
        <v>Gerald Takamura</v>
      </c>
      <c r="O9" s="10" t="str">
        <f>HYPERLINK("mailto:Lisa.Whitlock@fda.hhs.gov","Lisa Whitlock")</f>
        <v>Lisa Whitlock</v>
      </c>
    </row>
    <row r="10" spans="1:15" ht="45" x14ac:dyDescent="0.25">
      <c r="A10" s="6" t="str">
        <f>HYPERLINK("http://health.hawaii.gov/kauai/","Kauai District Health Office/Environmental Health Services")</f>
        <v>Kauai District Health Office/Environmental Health Services</v>
      </c>
      <c r="B10" s="7">
        <v>38460</v>
      </c>
      <c r="C10" s="8">
        <v>2</v>
      </c>
      <c r="D10" s="7">
        <v>41283</v>
      </c>
      <c r="E10" s="8" t="s">
        <v>440</v>
      </c>
      <c r="F10" s="8"/>
      <c r="G10" s="8"/>
      <c r="H10" s="8"/>
      <c r="I10" s="8"/>
      <c r="J10" s="8"/>
      <c r="K10" s="8"/>
      <c r="L10" s="8"/>
      <c r="M10" s="8"/>
      <c r="N10" s="9" t="str">
        <f>HYPERLINK("mailto:gerald.takamura@doh.hawaii.gov","Gerald Takamura")</f>
        <v>Gerald Takamura</v>
      </c>
      <c r="O10" s="10" t="str">
        <f>HYPERLINK("mailto:Lisa.Whitlock@fda.hhs.gov","Lisa Whitlock")</f>
        <v>Lisa Whitlock</v>
      </c>
    </row>
    <row r="11" spans="1:15" ht="60" x14ac:dyDescent="0.25">
      <c r="A11" s="11" t="str">
        <f>HYPERLINK("http://health.hawaii.gov/maui/","Maui District Health Office/Environmental Health (Sanitation, Food Permits)")</f>
        <v>Maui District Health Office/Environmental Health (Sanitation, Food Permits)</v>
      </c>
      <c r="B11" s="12">
        <v>38460</v>
      </c>
      <c r="C11" s="13">
        <v>1</v>
      </c>
      <c r="D11" s="12">
        <v>38460</v>
      </c>
      <c r="E11" s="13"/>
      <c r="F11" s="13"/>
      <c r="G11" s="13"/>
      <c r="H11" s="13"/>
      <c r="I11" s="13"/>
      <c r="J11" s="13"/>
      <c r="K11" s="13" t="s">
        <v>439</v>
      </c>
      <c r="L11" s="13"/>
      <c r="M11" s="13"/>
      <c r="N11" s="14" t="str">
        <f>HYPERLINK("mailto:Patricia.Kitkowski@doh.hawaii.gov","Patricia Kitkowski")</f>
        <v>Patricia Kitkowski</v>
      </c>
      <c r="O11" s="15" t="str">
        <f>HYPERLINK("mailto:Lisa.Whitlock@fda.hhs.gov","Lisa Whitlock")</f>
        <v>Lisa Whitlock</v>
      </c>
    </row>
    <row r="12" spans="1:15" ht="60" x14ac:dyDescent="0.25">
      <c r="A12" s="22" t="str">
        <f>HYPERLINK("http://health.hawaii.gov/maui/","Maui District Health Office/Environmental Health (Sanitation, Food Permits)")</f>
        <v>Maui District Health Office/Environmental Health (Sanitation, Food Permits)</v>
      </c>
      <c r="B12" s="23">
        <v>38460</v>
      </c>
      <c r="C12" s="24">
        <v>2</v>
      </c>
      <c r="D12" s="23">
        <v>41299</v>
      </c>
      <c r="E12" s="24" t="s">
        <v>441</v>
      </c>
      <c r="F12" s="24"/>
      <c r="G12" s="24"/>
      <c r="H12" s="24"/>
      <c r="I12" s="24"/>
      <c r="J12" s="24"/>
      <c r="K12" s="24" t="s">
        <v>442</v>
      </c>
      <c r="L12" s="24"/>
      <c r="M12" s="24"/>
      <c r="N12" s="25" t="str">
        <f>HYPERLINK("mailto:Patricia.Kitkowski@doh.hawaii.gov","Patricia Kitkowski")</f>
        <v>Patricia Kitkowski</v>
      </c>
      <c r="O12" s="26" t="str">
        <f>HYPERLINK("mailto:Lisa.Whitlock@fda.hhs.gov","Lisa Whitlock")</f>
        <v>Lisa Whitlock</v>
      </c>
    </row>
  </sheetData>
  <pageMargins left="0.15" right="0.15" top="0.25" bottom="0.25" header="0.05" footer="0.05"/>
  <pageSetup orientation="landscape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09357-CF3C-47FE-86D0-70926F26A149}">
  <sheetPr>
    <pageSetUpPr fitToPage="1"/>
  </sheetPr>
  <dimension ref="A1:O18"/>
  <sheetViews>
    <sheetView workbookViewId="0"/>
  </sheetViews>
  <sheetFormatPr defaultRowHeight="15" x14ac:dyDescent="0.25"/>
  <cols>
    <col min="1" max="1" width="33.7109375" customWidth="1"/>
    <col min="2" max="2" width="14.85546875" customWidth="1"/>
    <col min="3" max="3" width="18.42578125" customWidth="1"/>
    <col min="4" max="4" width="22" customWidth="1"/>
    <col min="5" max="13" width="17.28515625" customWidth="1"/>
    <col min="14" max="14" width="14.85546875" customWidth="1"/>
    <col min="15" max="15" width="13.140625" customWidth="1"/>
  </cols>
  <sheetData>
    <row r="1" spans="1:15" x14ac:dyDescent="0.25">
      <c r="A1" t="s">
        <v>473</v>
      </c>
      <c r="B1" s="2" t="str">
        <f>HYPERLINK("#Introduction!A1","Back to Introduction Page")</f>
        <v>Back to Introduction Page</v>
      </c>
    </row>
    <row r="2" spans="1:15" x14ac:dyDescent="0.25">
      <c r="A2" s="21" t="s">
        <v>474</v>
      </c>
    </row>
    <row r="3" spans="1:15" ht="45" x14ac:dyDescent="0.25">
      <c r="A3" s="4" t="s">
        <v>15</v>
      </c>
      <c r="B3" s="3" t="s">
        <v>16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21</v>
      </c>
      <c r="H3" s="3" t="s">
        <v>22</v>
      </c>
      <c r="I3" s="3" t="s">
        <v>23</v>
      </c>
      <c r="J3" s="3" t="s">
        <v>24</v>
      </c>
      <c r="K3" s="3" t="s">
        <v>25</v>
      </c>
      <c r="L3" s="3" t="s">
        <v>26</v>
      </c>
      <c r="M3" s="3" t="s">
        <v>27</v>
      </c>
      <c r="N3" s="3" t="s">
        <v>28</v>
      </c>
      <c r="O3" s="5" t="s">
        <v>29</v>
      </c>
    </row>
    <row r="4" spans="1:15" ht="30" x14ac:dyDescent="0.25">
      <c r="A4" s="6" t="str">
        <f>HYPERLINK("http://www.cdhd.idaho.gov","Central District Health Department")</f>
        <v>Central District Health Department</v>
      </c>
      <c r="B4" s="7">
        <v>37160</v>
      </c>
      <c r="C4" s="8">
        <v>1</v>
      </c>
      <c r="D4" s="7">
        <v>38461</v>
      </c>
      <c r="E4" s="8" t="s">
        <v>445</v>
      </c>
      <c r="F4" s="8"/>
      <c r="G4" s="8"/>
      <c r="H4" s="8"/>
      <c r="I4" s="8"/>
      <c r="J4" s="8"/>
      <c r="K4" s="8"/>
      <c r="L4" s="8"/>
      <c r="M4" s="8" t="s">
        <v>446</v>
      </c>
      <c r="N4" s="9" t="str">
        <f>HYPERLINK("mailto:tschmaltz@cdhd.idaho.gov","Tom Schmalz")</f>
        <v>Tom Schmalz</v>
      </c>
      <c r="O4" s="10" t="str">
        <f>HYPERLINK("mailto:Brad.Tufto@fda.hhs.gov","Bradley Tufto")</f>
        <v>Bradley Tufto</v>
      </c>
    </row>
    <row r="5" spans="1:15" ht="30" x14ac:dyDescent="0.25">
      <c r="A5" s="6" t="str">
        <f>HYPERLINK("http://www.cdhd.idaho.gov","Central District Health Department")</f>
        <v>Central District Health Department</v>
      </c>
      <c r="B5" s="7">
        <v>37160</v>
      </c>
      <c r="C5" s="8">
        <v>2</v>
      </c>
      <c r="D5" s="7">
        <v>40414</v>
      </c>
      <c r="E5" s="8" t="s">
        <v>447</v>
      </c>
      <c r="F5" s="8"/>
      <c r="G5" s="8"/>
      <c r="H5" s="8"/>
      <c r="I5" s="8"/>
      <c r="J5" s="8"/>
      <c r="K5" s="8" t="s">
        <v>447</v>
      </c>
      <c r="L5" s="8"/>
      <c r="M5" s="8" t="s">
        <v>448</v>
      </c>
      <c r="N5" s="9" t="str">
        <f>HYPERLINK("mailto:NFerney@cdhd.idaho.gov","Natasha Ferney")</f>
        <v>Natasha Ferney</v>
      </c>
      <c r="O5" s="10" t="str">
        <f>HYPERLINK("mailto:Brad.Tufto@fda.hhs.gov","Bradley Tufto")</f>
        <v>Bradley Tufto</v>
      </c>
    </row>
    <row r="6" spans="1:15" x14ac:dyDescent="0.25">
      <c r="A6" s="11" t="str">
        <f>HYPERLINK("http://www.cdatribe-nsn.gov/","Coeur d'Alene Tribe")</f>
        <v>Coeur d'Alene Tribe</v>
      </c>
      <c r="B6" s="12">
        <v>40738</v>
      </c>
      <c r="C6" s="13">
        <v>1</v>
      </c>
      <c r="D6" s="12">
        <v>41128</v>
      </c>
      <c r="E6" s="13"/>
      <c r="F6" s="13"/>
      <c r="G6" s="13"/>
      <c r="H6" s="13"/>
      <c r="I6" s="13"/>
      <c r="J6" s="13"/>
      <c r="K6" s="13"/>
      <c r="L6" s="13"/>
      <c r="M6" s="13"/>
      <c r="N6" s="14" t="str">
        <f>HYPERLINK("mailto:tallgood@@cdatribe-nsn.gov","Tiffany Allgood")</f>
        <v>Tiffany Allgood</v>
      </c>
      <c r="O6" s="15" t="str">
        <f>HYPERLINK("mailto:Brad.Tufto@fda.hhs.gov","Bradley Tufto")</f>
        <v>Bradley Tufto</v>
      </c>
    </row>
    <row r="7" spans="1:15" x14ac:dyDescent="0.25">
      <c r="A7" s="11" t="str">
        <f>HYPERLINK("http://www.cdatribe-nsn.gov/","Coeur d'Alene Tribe")</f>
        <v>Coeur d'Alene Tribe</v>
      </c>
      <c r="B7" s="12">
        <v>40738</v>
      </c>
      <c r="C7" s="13">
        <v>2</v>
      </c>
      <c r="D7" s="12">
        <v>42986</v>
      </c>
      <c r="E7" s="13"/>
      <c r="F7" s="13"/>
      <c r="G7" s="13"/>
      <c r="H7" s="13"/>
      <c r="I7" s="13"/>
      <c r="J7" s="13"/>
      <c r="K7" s="13"/>
      <c r="L7" s="13"/>
      <c r="M7" s="13"/>
      <c r="N7" s="14" t="str">
        <f>HYPERLINK("mailto:tallgood@@cdatribe-nsn.gov","Tiffany Allgood")</f>
        <v>Tiffany Allgood</v>
      </c>
      <c r="O7" s="15" t="str">
        <f>HYPERLINK("mailto:Brad.Tufto@fda.hhs.gov","Bradley Tufto")</f>
        <v>Bradley Tufto</v>
      </c>
    </row>
    <row r="8" spans="1:15" ht="30" x14ac:dyDescent="0.25">
      <c r="A8" s="6" t="str">
        <f>HYPERLINK("http://www.phd7.idaho.gov","Eastern Idaho Public Health District")</f>
        <v>Eastern Idaho Public Health District</v>
      </c>
      <c r="B8" s="7">
        <v>37666</v>
      </c>
      <c r="C8" s="8">
        <v>1</v>
      </c>
      <c r="D8" s="7">
        <v>38257</v>
      </c>
      <c r="E8" s="8" t="s">
        <v>449</v>
      </c>
      <c r="F8" s="8"/>
      <c r="G8" s="8"/>
      <c r="H8" s="8"/>
      <c r="I8" s="8"/>
      <c r="J8" s="8"/>
      <c r="K8" s="8"/>
      <c r="L8" s="8"/>
      <c r="M8" s="8" t="s">
        <v>450</v>
      </c>
      <c r="N8" s="9" t="str">
        <f>HYPERLINK("mailto:keager@phd7.idaho.gov","Kellye Eager")</f>
        <v>Kellye Eager</v>
      </c>
      <c r="O8" s="10" t="str">
        <f>HYPERLINK("mailto:Brad.Tufto@fda.hhs.gov","Bradley Tufto")</f>
        <v>Bradley Tufto</v>
      </c>
    </row>
    <row r="9" spans="1:15" ht="30" x14ac:dyDescent="0.25">
      <c r="A9" s="11" t="str">
        <f>HYPERLINK("http://www.healthandwelfare.idaho.gov/","Idaho Department of Health and Welfare")</f>
        <v>Idaho Department of Health and Welfare</v>
      </c>
      <c r="B9" s="12">
        <v>37165</v>
      </c>
      <c r="C9" s="13">
        <v>1</v>
      </c>
      <c r="D9" s="12">
        <v>37602</v>
      </c>
      <c r="E9" s="13" t="s">
        <v>451</v>
      </c>
      <c r="F9" s="13"/>
      <c r="G9" s="13"/>
      <c r="H9" s="13" t="s">
        <v>452</v>
      </c>
      <c r="I9" s="13"/>
      <c r="J9" s="13"/>
      <c r="K9" s="13" t="s">
        <v>452</v>
      </c>
      <c r="L9" s="13"/>
      <c r="M9" s="13" t="s">
        <v>453</v>
      </c>
      <c r="N9" s="14" t="str">
        <f>HYPERLINK("mailto:Patrick.Guzzle@dhw.idaho.gov","Patrick Guzzle")</f>
        <v>Patrick Guzzle</v>
      </c>
      <c r="O9" s="15" t="str">
        <f>HYPERLINK("mailto:Brad.Tufto@fda.hhs.gov","Bradley Tufto")</f>
        <v>Bradley Tufto</v>
      </c>
    </row>
    <row r="10" spans="1:15" ht="30" x14ac:dyDescent="0.25">
      <c r="A10" s="11" t="str">
        <f>HYPERLINK("http://www.healthandwelfare.idaho.gov/","Idaho Department of Health and Welfare")</f>
        <v>Idaho Department of Health and Welfare</v>
      </c>
      <c r="B10" s="12">
        <v>37165</v>
      </c>
      <c r="C10" s="13">
        <v>2</v>
      </c>
      <c r="D10" s="12">
        <v>40245</v>
      </c>
      <c r="E10" s="13" t="s">
        <v>448</v>
      </c>
      <c r="F10" s="13" t="s">
        <v>448</v>
      </c>
      <c r="G10" s="13"/>
      <c r="H10" s="13" t="s">
        <v>448</v>
      </c>
      <c r="I10" s="13"/>
      <c r="J10" s="13" t="s">
        <v>448</v>
      </c>
      <c r="K10" s="13" t="s">
        <v>448</v>
      </c>
      <c r="L10" s="13" t="s">
        <v>448</v>
      </c>
      <c r="M10" s="13" t="s">
        <v>448</v>
      </c>
      <c r="N10" s="14" t="str">
        <f>HYPERLINK("mailto:Patrick.Guzzle@dhw.idaho.gov","Patrick Guzzle")</f>
        <v>Patrick Guzzle</v>
      </c>
      <c r="O10" s="15" t="str">
        <f>HYPERLINK("mailto:Brad.Tufto@fda.hhs.gov","Bradley Tufto")</f>
        <v>Bradley Tufto</v>
      </c>
    </row>
    <row r="11" spans="1:15" ht="30" x14ac:dyDescent="0.25">
      <c r="A11" s="11" t="str">
        <f>HYPERLINK("http://www.healthandwelfare.idaho.gov/","Idaho Department of Health and Welfare")</f>
        <v>Idaho Department of Health and Welfare</v>
      </c>
      <c r="B11" s="12">
        <v>37165</v>
      </c>
      <c r="C11" s="13">
        <v>3</v>
      </c>
      <c r="D11" s="12">
        <v>42886</v>
      </c>
      <c r="E11" s="13"/>
      <c r="F11" s="13" t="s">
        <v>454</v>
      </c>
      <c r="G11" s="13" t="s">
        <v>454</v>
      </c>
      <c r="H11" s="13" t="s">
        <v>454</v>
      </c>
      <c r="I11" s="13"/>
      <c r="J11" s="13" t="s">
        <v>454</v>
      </c>
      <c r="K11" s="13" t="s">
        <v>454</v>
      </c>
      <c r="L11" s="13"/>
      <c r="M11" s="13"/>
      <c r="N11" s="13" t="s">
        <v>455</v>
      </c>
      <c r="O11" s="15" t="str">
        <f>HYPERLINK("mailto:Brad.Tufto@fda.hhs.gov","Bradley Tufto")</f>
        <v>Bradley Tufto</v>
      </c>
    </row>
    <row r="12" spans="1:15" ht="30" x14ac:dyDescent="0.25">
      <c r="A12" s="6" t="str">
        <f>HYPERLINK("http://idahopublichealth.com/","North Central District Health Department")</f>
        <v>North Central District Health Department</v>
      </c>
      <c r="B12" s="7">
        <v>37678</v>
      </c>
      <c r="C12" s="8">
        <v>1</v>
      </c>
      <c r="D12" s="7">
        <v>38063</v>
      </c>
      <c r="E12" s="8" t="s">
        <v>456</v>
      </c>
      <c r="F12" s="8"/>
      <c r="G12" s="8"/>
      <c r="H12" s="8" t="s">
        <v>457</v>
      </c>
      <c r="I12" s="8"/>
      <c r="J12" s="8"/>
      <c r="K12" s="8"/>
      <c r="L12" s="8"/>
      <c r="M12" s="8" t="s">
        <v>456</v>
      </c>
      <c r="N12" s="9" t="str">
        <f>HYPERLINK("mailto:nbecker@phd2.idaho.gov","Nancy Becker")</f>
        <v>Nancy Becker</v>
      </c>
      <c r="O12" s="10" t="str">
        <f>HYPERLINK("mailto:Brad.Tufto@fda.hhs.gov","Bradley Tufto")</f>
        <v>Bradley Tufto</v>
      </c>
    </row>
    <row r="13" spans="1:15" ht="30" x14ac:dyDescent="0.25">
      <c r="A13" s="6" t="str">
        <f>HYPERLINK("http://idahopublichealth.com/","North Central District Health Department")</f>
        <v>North Central District Health Department</v>
      </c>
      <c r="B13" s="7">
        <v>37678</v>
      </c>
      <c r="C13" s="8">
        <v>2</v>
      </c>
      <c r="D13" s="7">
        <v>40722</v>
      </c>
      <c r="E13" s="8" t="s">
        <v>458</v>
      </c>
      <c r="F13" s="8"/>
      <c r="G13" s="8"/>
      <c r="H13" s="8"/>
      <c r="I13" s="8"/>
      <c r="J13" s="8"/>
      <c r="K13" s="8"/>
      <c r="L13" s="8"/>
      <c r="M13" s="8"/>
      <c r="N13" s="9" t="str">
        <f>HYPERLINK("mailto:nbecker@phd2.idaho.gov","Nancy Becker")</f>
        <v>Nancy Becker</v>
      </c>
      <c r="O13" s="10" t="str">
        <f>HYPERLINK("mailto:Brad.Tufto@fda.hhs.gov","Bradley Tufto")</f>
        <v>Bradley Tufto</v>
      </c>
    </row>
    <row r="14" spans="1:15" x14ac:dyDescent="0.25">
      <c r="A14" s="11" t="str">
        <f>HYPERLINK("http://www.phd1.idaho.gov/","Panhandle Health District 1")</f>
        <v>Panhandle Health District 1</v>
      </c>
      <c r="B14" s="12">
        <v>37811</v>
      </c>
      <c r="C14" s="13">
        <v>1</v>
      </c>
      <c r="D14" s="12">
        <v>38161</v>
      </c>
      <c r="E14" s="13" t="s">
        <v>459</v>
      </c>
      <c r="F14" s="13"/>
      <c r="G14" s="13"/>
      <c r="H14" s="13"/>
      <c r="I14" s="13"/>
      <c r="J14" s="13"/>
      <c r="K14" s="13"/>
      <c r="L14" s="13"/>
      <c r="M14" s="13" t="s">
        <v>460</v>
      </c>
      <c r="N14" s="14" t="str">
        <f>HYPERLINK("mailto:dpeck1@phd1.idaho.gov","Dale Peck")</f>
        <v>Dale Peck</v>
      </c>
      <c r="O14" s="15" t="str">
        <f>HYPERLINK("mailto:Brad.Tufto@fda.hhs.gov","Bradley Tufto")</f>
        <v>Bradley Tufto</v>
      </c>
    </row>
    <row r="15" spans="1:15" ht="30" x14ac:dyDescent="0.25">
      <c r="A15" s="6" t="str">
        <f>HYPERLINK("http://www.phd5.idaho.gov/","South Central District Health Department")</f>
        <v>South Central District Health Department</v>
      </c>
      <c r="B15" s="7">
        <v>37627</v>
      </c>
      <c r="C15" s="8">
        <v>1</v>
      </c>
      <c r="D15" s="7">
        <v>37886</v>
      </c>
      <c r="E15" s="8" t="s">
        <v>461</v>
      </c>
      <c r="F15" s="8"/>
      <c r="G15" s="8"/>
      <c r="H15" s="8" t="s">
        <v>462</v>
      </c>
      <c r="I15" s="8"/>
      <c r="J15" s="8"/>
      <c r="K15" s="8" t="s">
        <v>463</v>
      </c>
      <c r="L15" s="8"/>
      <c r="M15" s="8" t="s">
        <v>464</v>
      </c>
      <c r="N15" s="9" t="str">
        <f>HYPERLINK("mailto:jjensen@phd5.state.id.us","Josh Jensen")</f>
        <v>Josh Jensen</v>
      </c>
      <c r="O15" s="10" t="str">
        <f>HYPERLINK("mailto:Brad.Tufto@fda.hhs.gov","Bradley Tufto")</f>
        <v>Bradley Tufto</v>
      </c>
    </row>
    <row r="16" spans="1:15" ht="30" x14ac:dyDescent="0.25">
      <c r="A16" s="6" t="str">
        <f>HYPERLINK("http://www.phd5.idaho.gov/","South Central District Health Department")</f>
        <v>South Central District Health Department</v>
      </c>
      <c r="B16" s="7">
        <v>37627</v>
      </c>
      <c r="C16" s="8">
        <v>2</v>
      </c>
      <c r="D16" s="7">
        <v>42233</v>
      </c>
      <c r="E16" s="8" t="s">
        <v>465</v>
      </c>
      <c r="F16" s="8"/>
      <c r="G16" s="8"/>
      <c r="H16" s="8"/>
      <c r="I16" s="8"/>
      <c r="J16" s="8"/>
      <c r="K16" s="8" t="s">
        <v>465</v>
      </c>
      <c r="L16" s="8"/>
      <c r="M16" s="8"/>
      <c r="N16" s="9" t="str">
        <f>HYPERLINK("mailto:jjensen@phd5.state.id.us","Josh Jensen")</f>
        <v>Josh Jensen</v>
      </c>
      <c r="O16" s="10" t="str">
        <f>HYPERLINK("mailto:Brad.Tufto@fda.hhs.gov","Bradley Tufto")</f>
        <v>Bradley Tufto</v>
      </c>
    </row>
    <row r="17" spans="1:15" ht="30" x14ac:dyDescent="0.25">
      <c r="A17" s="11" t="str">
        <f>HYPERLINK("http://www.siphidaho.org/","Southeastern Idaho Public Health")</f>
        <v>Southeastern Idaho Public Health</v>
      </c>
      <c r="B17" s="12">
        <v>37662</v>
      </c>
      <c r="C17" s="13">
        <v>1</v>
      </c>
      <c r="D17" s="12">
        <v>38015</v>
      </c>
      <c r="E17" s="13" t="s">
        <v>466</v>
      </c>
      <c r="F17" s="13"/>
      <c r="G17" s="13"/>
      <c r="H17" s="13"/>
      <c r="I17" s="13"/>
      <c r="J17" s="13" t="s">
        <v>467</v>
      </c>
      <c r="K17" s="13" t="s">
        <v>467</v>
      </c>
      <c r="L17" s="13"/>
      <c r="M17" s="13" t="s">
        <v>468</v>
      </c>
      <c r="N17" s="13" t="s">
        <v>469</v>
      </c>
      <c r="O17" s="15" t="str">
        <f>HYPERLINK("mailto:Brad.Tufto@fda.hhs.gov","Bradley Tufto")</f>
        <v>Bradley Tufto</v>
      </c>
    </row>
    <row r="18" spans="1:15" ht="30" x14ac:dyDescent="0.25">
      <c r="A18" s="16" t="str">
        <f>HYPERLINK("http://www.swdh.org","Southwest District Health Department")</f>
        <v>Southwest District Health Department</v>
      </c>
      <c r="B18" s="17">
        <v>37550</v>
      </c>
      <c r="C18" s="18">
        <v>1</v>
      </c>
      <c r="D18" s="17">
        <v>37909</v>
      </c>
      <c r="E18" s="18" t="s">
        <v>470</v>
      </c>
      <c r="F18" s="18"/>
      <c r="G18" s="18"/>
      <c r="H18" s="18" t="s">
        <v>471</v>
      </c>
      <c r="I18" s="18"/>
      <c r="J18" s="18"/>
      <c r="K18" s="18"/>
      <c r="L18" s="18"/>
      <c r="M18" s="18" t="s">
        <v>472</v>
      </c>
      <c r="N18" s="19" t="str">
        <f>HYPERLINK("mailto:Kelly.Berg@phd3.idaho.gov","Kelly Berg")</f>
        <v>Kelly Berg</v>
      </c>
      <c r="O18" s="20" t="str">
        <f>HYPERLINK("mailto:Brad.Tufto@fda.hhs.gov","Bradley Tufto")</f>
        <v>Bradley Tufto</v>
      </c>
    </row>
  </sheetData>
  <pageMargins left="0.15" right="0.15" top="0.25" bottom="0.25" header="0.05" footer="0.05"/>
  <pageSetup orientation="landscape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04973-8F6B-4D02-A91E-C5AAF34E0FA8}">
  <sheetPr>
    <pageSetUpPr fitToPage="1"/>
  </sheetPr>
  <dimension ref="A1:O49"/>
  <sheetViews>
    <sheetView workbookViewId="0"/>
  </sheetViews>
  <sheetFormatPr defaultRowHeight="15" x14ac:dyDescent="0.25"/>
  <cols>
    <col min="1" max="1" width="33.7109375" customWidth="1"/>
    <col min="2" max="2" width="14.85546875" customWidth="1"/>
    <col min="3" max="3" width="18.42578125" customWidth="1"/>
    <col min="4" max="4" width="22" customWidth="1"/>
    <col min="5" max="13" width="17.28515625" customWidth="1"/>
    <col min="14" max="14" width="14.85546875" customWidth="1"/>
    <col min="15" max="15" width="13.140625" customWidth="1"/>
  </cols>
  <sheetData>
    <row r="1" spans="1:15" x14ac:dyDescent="0.25">
      <c r="A1" t="s">
        <v>569</v>
      </c>
      <c r="B1" s="2" t="str">
        <f>HYPERLINK("#Introduction!A1","Back to Introduction Page")</f>
        <v>Back to Introduction Page</v>
      </c>
    </row>
    <row r="2" spans="1:15" x14ac:dyDescent="0.25">
      <c r="A2" s="21" t="s">
        <v>570</v>
      </c>
    </row>
    <row r="3" spans="1:15" ht="45" x14ac:dyDescent="0.25">
      <c r="A3" s="4" t="s">
        <v>15</v>
      </c>
      <c r="B3" s="3" t="s">
        <v>16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21</v>
      </c>
      <c r="H3" s="3" t="s">
        <v>22</v>
      </c>
      <c r="I3" s="3" t="s">
        <v>23</v>
      </c>
      <c r="J3" s="3" t="s">
        <v>24</v>
      </c>
      <c r="K3" s="3" t="s">
        <v>25</v>
      </c>
      <c r="L3" s="3" t="s">
        <v>26</v>
      </c>
      <c r="M3" s="3" t="s">
        <v>27</v>
      </c>
      <c r="N3" s="3" t="s">
        <v>28</v>
      </c>
      <c r="O3" s="5" t="s">
        <v>29</v>
      </c>
    </row>
    <row r="4" spans="1:15" ht="30" x14ac:dyDescent="0.25">
      <c r="A4" s="28" t="s">
        <v>475</v>
      </c>
      <c r="B4" s="7">
        <v>42652</v>
      </c>
      <c r="C4" s="8">
        <v>1</v>
      </c>
      <c r="D4" s="7">
        <v>43115</v>
      </c>
      <c r="E4" s="8"/>
      <c r="F4" s="8"/>
      <c r="G4" s="8"/>
      <c r="H4" s="8"/>
      <c r="I4" s="8"/>
      <c r="J4" s="8"/>
      <c r="K4" s="8"/>
      <c r="L4" s="8"/>
      <c r="M4" s="8"/>
      <c r="N4" s="9" t="str">
        <f>HYPERLINK("mailto:amehl@boonehealth.org","Amanda Mehl")</f>
        <v>Amanda Mehl</v>
      </c>
      <c r="O4" s="10" t="str">
        <f>HYPERLINK("mailto:Michael.Nordos@fda.hhs.gov","Michael Nordos")</f>
        <v>Michael Nordos</v>
      </c>
    </row>
    <row r="5" spans="1:15" ht="30" x14ac:dyDescent="0.25">
      <c r="A5" s="11" t="str">
        <f>HYPERLINK("http://browncountyhealth.com/","Brown County Public Health Department")</f>
        <v>Brown County Public Health Department</v>
      </c>
      <c r="B5" s="12">
        <v>40720</v>
      </c>
      <c r="C5" s="13">
        <v>1</v>
      </c>
      <c r="D5" s="12">
        <v>41090</v>
      </c>
      <c r="E5" s="13"/>
      <c r="F5" s="13"/>
      <c r="G5" s="13" t="s">
        <v>476</v>
      </c>
      <c r="H5" s="13"/>
      <c r="I5" s="13" t="s">
        <v>476</v>
      </c>
      <c r="J5" s="13"/>
      <c r="K5" s="13" t="s">
        <v>476</v>
      </c>
      <c r="L5" s="13"/>
      <c r="M5" s="13"/>
      <c r="N5" s="14" t="str">
        <f>HYPERLINK("mailto:g.sandidge@yahoo.com","Greg Sandidge")</f>
        <v>Greg Sandidge</v>
      </c>
      <c r="O5" s="15" t="str">
        <f>HYPERLINK("mailto:Michael.Nordos@fda.hhs.gov","Michael Nordos")</f>
        <v>Michael Nordos</v>
      </c>
    </row>
    <row r="6" spans="1:15" ht="30" x14ac:dyDescent="0.25">
      <c r="A6" s="28" t="s">
        <v>329</v>
      </c>
      <c r="B6" s="7">
        <v>40751</v>
      </c>
      <c r="C6" s="8">
        <v>1</v>
      </c>
      <c r="D6" s="7">
        <v>41066</v>
      </c>
      <c r="E6" s="8" t="s">
        <v>477</v>
      </c>
      <c r="F6" s="8" t="s">
        <v>478</v>
      </c>
      <c r="G6" s="8" t="s">
        <v>479</v>
      </c>
      <c r="H6" s="8" t="s">
        <v>480</v>
      </c>
      <c r="I6" s="8" t="s">
        <v>481</v>
      </c>
      <c r="J6" s="8"/>
      <c r="K6" s="8" t="s">
        <v>482</v>
      </c>
      <c r="L6" s="8" t="s">
        <v>483</v>
      </c>
      <c r="M6" s="8" t="s">
        <v>484</v>
      </c>
      <c r="N6" s="8" t="s">
        <v>485</v>
      </c>
      <c r="O6" s="10" t="str">
        <f>HYPERLINK("mailto:Michael.Nordos@fda.hhs.gov","Michael Nordos")</f>
        <v>Michael Nordos</v>
      </c>
    </row>
    <row r="7" spans="1:15" ht="30" x14ac:dyDescent="0.25">
      <c r="A7" s="29" t="s">
        <v>486</v>
      </c>
      <c r="B7" s="12">
        <v>40284</v>
      </c>
      <c r="C7" s="13">
        <v>1</v>
      </c>
      <c r="D7" s="12">
        <v>40541</v>
      </c>
      <c r="E7" s="13"/>
      <c r="F7" s="13"/>
      <c r="G7" s="13"/>
      <c r="H7" s="13"/>
      <c r="I7" s="13"/>
      <c r="J7" s="13"/>
      <c r="K7" s="13" t="s">
        <v>487</v>
      </c>
      <c r="L7" s="13" t="s">
        <v>488</v>
      </c>
      <c r="M7" s="13"/>
      <c r="N7" s="13" t="s">
        <v>489</v>
      </c>
      <c r="O7" s="15" t="str">
        <f>HYPERLINK("mailto:Michael.Nordos@fda.hhs.gov","Michael Nordos")</f>
        <v>Michael Nordos</v>
      </c>
    </row>
    <row r="8" spans="1:15" ht="30" x14ac:dyDescent="0.25">
      <c r="A8" s="28" t="s">
        <v>490</v>
      </c>
      <c r="B8" s="7">
        <v>39924</v>
      </c>
      <c r="C8" s="8">
        <v>1</v>
      </c>
      <c r="D8" s="8"/>
      <c r="E8" s="8"/>
      <c r="F8" s="8"/>
      <c r="G8" s="8"/>
      <c r="H8" s="8"/>
      <c r="I8" s="8"/>
      <c r="J8" s="8"/>
      <c r="K8" s="8"/>
      <c r="L8" s="8"/>
      <c r="M8" s="8"/>
      <c r="N8" s="8" t="s">
        <v>491</v>
      </c>
      <c r="O8" s="10" t="str">
        <f>HYPERLINK("mailto:Michael.Nordos@fda.hhs.gov","Michael Nordos")</f>
        <v>Michael Nordos</v>
      </c>
    </row>
    <row r="9" spans="1:15" ht="30" x14ac:dyDescent="0.25">
      <c r="A9" s="29" t="s">
        <v>492</v>
      </c>
      <c r="B9" s="12">
        <v>41270</v>
      </c>
      <c r="C9" s="13">
        <v>1</v>
      </c>
      <c r="D9" s="12">
        <v>41451</v>
      </c>
      <c r="E9" s="13"/>
      <c r="F9" s="13"/>
      <c r="G9" s="13"/>
      <c r="H9" s="13"/>
      <c r="I9" s="13"/>
      <c r="J9" s="13"/>
      <c r="K9" s="13"/>
      <c r="L9" s="13"/>
      <c r="M9" s="13"/>
      <c r="N9" s="14" t="str">
        <f>HYPERLINK("mailto:jworkman@healthdept.org","Jeff Workman")</f>
        <v>Jeff Workman</v>
      </c>
      <c r="O9" s="15" t="str">
        <f>HYPERLINK("mailto:Michael.Nordos@fda.hhs.gov","Michael Nordos")</f>
        <v>Michael Nordos</v>
      </c>
    </row>
    <row r="10" spans="1:15" ht="30" x14ac:dyDescent="0.25">
      <c r="A10" s="29" t="s">
        <v>492</v>
      </c>
      <c r="B10" s="12">
        <v>41270</v>
      </c>
      <c r="C10" s="13">
        <v>2</v>
      </c>
      <c r="D10" s="12">
        <v>43357</v>
      </c>
      <c r="E10" s="13" t="s">
        <v>493</v>
      </c>
      <c r="F10" s="13"/>
      <c r="G10" s="13" t="s">
        <v>493</v>
      </c>
      <c r="H10" s="13"/>
      <c r="I10" s="13"/>
      <c r="J10" s="13" t="s">
        <v>493</v>
      </c>
      <c r="K10" s="13"/>
      <c r="L10" s="13" t="s">
        <v>494</v>
      </c>
      <c r="M10" s="13"/>
      <c r="N10" s="14" t="str">
        <f>HYPERLINK("mailto:awille@healthdept.org","Amber Wille")</f>
        <v>Amber Wille</v>
      </c>
      <c r="O10" s="15" t="str">
        <f>HYPERLINK("mailto:Michael.Nordos@fda.hhs.gov","Michael Nordos")</f>
        <v>Michael Nordos</v>
      </c>
    </row>
    <row r="11" spans="1:15" ht="30" x14ac:dyDescent="0.25">
      <c r="A11" s="6" t="str">
        <f>HYPERLINK("http://www.co.cumberland.nc.us/health","Cumberland County Health Department")</f>
        <v>Cumberland County Health Department</v>
      </c>
      <c r="B11" s="7">
        <v>40724</v>
      </c>
      <c r="C11" s="8">
        <v>1</v>
      </c>
      <c r="D11" s="7">
        <v>41025</v>
      </c>
      <c r="E11" s="8"/>
      <c r="F11" s="8" t="s">
        <v>495</v>
      </c>
      <c r="G11" s="8" t="s">
        <v>496</v>
      </c>
      <c r="H11" s="8" t="s">
        <v>496</v>
      </c>
      <c r="I11" s="8" t="s">
        <v>497</v>
      </c>
      <c r="J11" s="8" t="s">
        <v>496</v>
      </c>
      <c r="K11" s="8" t="s">
        <v>496</v>
      </c>
      <c r="L11" s="8"/>
      <c r="M11" s="8"/>
      <c r="N11" s="8" t="s">
        <v>498</v>
      </c>
      <c r="O11" s="10" t="str">
        <f>HYPERLINK("mailto:Michael.Nordos@fda.hhs.gov","Michael Nordos")</f>
        <v>Michael Nordos</v>
      </c>
    </row>
    <row r="12" spans="1:15" ht="30" x14ac:dyDescent="0.25">
      <c r="A12" s="29" t="s">
        <v>499</v>
      </c>
      <c r="B12" s="12">
        <v>38356</v>
      </c>
      <c r="C12" s="13">
        <v>1</v>
      </c>
      <c r="D12" s="12">
        <v>41085</v>
      </c>
      <c r="E12" s="13" t="s">
        <v>500</v>
      </c>
      <c r="F12" s="13"/>
      <c r="G12" s="13"/>
      <c r="H12" s="13"/>
      <c r="I12" s="13"/>
      <c r="J12" s="13"/>
      <c r="K12" s="13" t="s">
        <v>501</v>
      </c>
      <c r="L12" s="13"/>
      <c r="M12" s="13" t="s">
        <v>502</v>
      </c>
      <c r="N12" s="13" t="s">
        <v>503</v>
      </c>
      <c r="O12" s="15" t="str">
        <f>HYPERLINK("mailto:Michael.Nordos@fda.hhs.gov","Michael Nordos")</f>
        <v>Michael Nordos</v>
      </c>
    </row>
    <row r="13" spans="1:15" ht="30" x14ac:dyDescent="0.25">
      <c r="A13" s="28" t="s">
        <v>504</v>
      </c>
      <c r="B13" s="7">
        <v>40344</v>
      </c>
      <c r="C13" s="8">
        <v>1</v>
      </c>
      <c r="D13" s="7">
        <v>41072</v>
      </c>
      <c r="E13" s="8"/>
      <c r="F13" s="8"/>
      <c r="G13" s="8"/>
      <c r="H13" s="8"/>
      <c r="I13" s="8" t="s">
        <v>505</v>
      </c>
      <c r="J13" s="8"/>
      <c r="K13" s="8"/>
      <c r="L13" s="8"/>
      <c r="M13" s="8"/>
      <c r="N13" s="9" t="str">
        <f>HYPERLINK("mailto:mblandford@eshd.org","Myla Blandford")</f>
        <v>Myla Blandford</v>
      </c>
      <c r="O13" s="10" t="str">
        <f>HYPERLINK("mailto:Michael.Nordos@fda.hhs.gov","Michael Nordos")</f>
        <v>Michael Nordos</v>
      </c>
    </row>
    <row r="14" spans="1:15" ht="30" x14ac:dyDescent="0.25">
      <c r="A14" s="29" t="s">
        <v>506</v>
      </c>
      <c r="B14" s="12">
        <v>42695</v>
      </c>
      <c r="C14" s="13">
        <v>1</v>
      </c>
      <c r="D14" s="12">
        <v>43034</v>
      </c>
      <c r="E14" s="13"/>
      <c r="F14" s="13"/>
      <c r="G14" s="13"/>
      <c r="H14" s="13"/>
      <c r="I14" s="13"/>
      <c r="J14" s="13"/>
      <c r="K14" s="13"/>
      <c r="L14" s="13"/>
      <c r="M14" s="13"/>
      <c r="N14" s="14" t="str">
        <f>HYPERLINK("mailto:jworkman@healthdept.org","Jeff Workman")</f>
        <v>Jeff Workman</v>
      </c>
      <c r="O14" s="15" t="str">
        <f>HYPERLINK("mailto:Michael.Nordos@fda.hhs.gov","Michael Nordos")</f>
        <v>Michael Nordos</v>
      </c>
    </row>
    <row r="15" spans="1:15" ht="30" x14ac:dyDescent="0.25">
      <c r="A15" s="28" t="s">
        <v>507</v>
      </c>
      <c r="B15" s="7">
        <v>40751</v>
      </c>
      <c r="C15" s="8">
        <v>1</v>
      </c>
      <c r="D15" s="7">
        <v>41079</v>
      </c>
      <c r="E15" s="8"/>
      <c r="F15" s="8"/>
      <c r="G15" s="8" t="s">
        <v>508</v>
      </c>
      <c r="H15" s="8"/>
      <c r="I15" s="8"/>
      <c r="J15" s="8"/>
      <c r="K15" s="8" t="s">
        <v>508</v>
      </c>
      <c r="L15" s="8"/>
      <c r="M15" s="8"/>
      <c r="N15" s="8" t="s">
        <v>509</v>
      </c>
      <c r="O15" s="10" t="str">
        <f>HYPERLINK("mailto:Michael.Nordos@fda.hhs.gov","Michael Nordos")</f>
        <v>Michael Nordos</v>
      </c>
    </row>
    <row r="16" spans="1:15" ht="30" x14ac:dyDescent="0.25">
      <c r="A16" s="11" t="str">
        <f>HYPERLINK("http://www.publichealthathens.com/","Greene County Health Department")</f>
        <v>Greene County Health Department</v>
      </c>
      <c r="B16" s="12">
        <v>40750</v>
      </c>
      <c r="C16" s="13">
        <v>1</v>
      </c>
      <c r="D16" s="12">
        <v>41066</v>
      </c>
      <c r="E16" s="13"/>
      <c r="F16" s="13" t="s">
        <v>478</v>
      </c>
      <c r="G16" s="13" t="s">
        <v>479</v>
      </c>
      <c r="H16" s="13"/>
      <c r="I16" s="13" t="s">
        <v>481</v>
      </c>
      <c r="J16" s="13"/>
      <c r="K16" s="13" t="s">
        <v>482</v>
      </c>
      <c r="L16" s="13" t="s">
        <v>510</v>
      </c>
      <c r="M16" s="13"/>
      <c r="N16" s="13" t="s">
        <v>511</v>
      </c>
      <c r="O16" s="15" t="str">
        <f>HYPERLINK("mailto:Michael.Nordos@fda.hhs.gov","Michael Nordos")</f>
        <v>Michael Nordos</v>
      </c>
    </row>
    <row r="17" spans="1:15" ht="30" x14ac:dyDescent="0.25">
      <c r="A17" s="6" t="str">
        <f>HYPERLINK("www.grundyhealth.com","Grundy County Health Department")</f>
        <v>Grundy County Health Department</v>
      </c>
      <c r="B17" s="7">
        <v>43371</v>
      </c>
      <c r="C17" s="8">
        <v>1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9" t="str">
        <f>HYPERLINK("mailto:CAnderson@grundyhealth.com","Cara R. Anderson")</f>
        <v>Cara R. Anderson</v>
      </c>
      <c r="O17" s="10" t="str">
        <f>HYPERLINK("mailto:Michael.Nordos@fda.hhs.gov","Michael Nordos")</f>
        <v>Michael Nordos</v>
      </c>
    </row>
    <row r="18" spans="1:15" ht="30" x14ac:dyDescent="0.25">
      <c r="A18" s="29" t="s">
        <v>512</v>
      </c>
      <c r="B18" s="12">
        <v>40721</v>
      </c>
      <c r="C18" s="13">
        <v>1</v>
      </c>
      <c r="D18" s="12">
        <v>41088</v>
      </c>
      <c r="E18" s="13"/>
      <c r="F18" s="13"/>
      <c r="G18" s="13"/>
      <c r="H18" s="13"/>
      <c r="I18" s="13"/>
      <c r="J18" s="13"/>
      <c r="K18" s="13" t="s">
        <v>513</v>
      </c>
      <c r="L18" s="13"/>
      <c r="M18" s="13"/>
      <c r="N18" s="13" t="s">
        <v>514</v>
      </c>
      <c r="O18" s="15" t="str">
        <f>HYPERLINK("mailto:Michael.Nordos@fda.hhs.gov","Michael Nordos")</f>
        <v>Michael Nordos</v>
      </c>
    </row>
    <row r="19" spans="1:15" ht="30" x14ac:dyDescent="0.25">
      <c r="A19" s="29" t="s">
        <v>512</v>
      </c>
      <c r="B19" s="12">
        <v>42676</v>
      </c>
      <c r="C19" s="13">
        <v>2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4" t="str">
        <f>HYPERLINK("mailto:Larry.Beard@hamiltonco.org","Larry Beard")</f>
        <v>Larry Beard</v>
      </c>
      <c r="O19" s="15" t="str">
        <f>HYPERLINK("mailto:Michael.Nordos@fda.hhs.gov","Michael Nordos")</f>
        <v>Michael Nordos</v>
      </c>
    </row>
    <row r="20" spans="1:15" ht="30" x14ac:dyDescent="0.25">
      <c r="A20" s="6" t="str">
        <f>HYPERLINK("http://www.hancockhealth.info/","Hancock County Health Department")</f>
        <v>Hancock County Health Department</v>
      </c>
      <c r="B20" s="7">
        <v>40720</v>
      </c>
      <c r="C20" s="8">
        <v>1</v>
      </c>
      <c r="D20" s="7">
        <v>41060</v>
      </c>
      <c r="E20" s="8"/>
      <c r="F20" s="8"/>
      <c r="G20" s="8" t="s">
        <v>515</v>
      </c>
      <c r="H20" s="8"/>
      <c r="I20" s="8" t="s">
        <v>515</v>
      </c>
      <c r="J20" s="8"/>
      <c r="K20" s="8" t="s">
        <v>516</v>
      </c>
      <c r="L20" s="8"/>
      <c r="M20" s="8"/>
      <c r="N20" s="9" t="str">
        <f>HYPERLINK("mailto:Maureencrawford@hchd1.org","Maureen Crawford")</f>
        <v>Maureen Crawford</v>
      </c>
      <c r="O20" s="10" t="str">
        <f>HYPERLINK("mailto:Michael.Nordos@fda.hhs.gov","Michael Nordos")</f>
        <v>Michael Nordos</v>
      </c>
    </row>
    <row r="21" spans="1:15" ht="30" x14ac:dyDescent="0.25">
      <c r="A21" s="6" t="str">
        <f>HYPERLINK("http://www.hancockhealth.info/","Hancock County Health Department")</f>
        <v>Hancock County Health Department</v>
      </c>
      <c r="B21" s="7">
        <v>40720</v>
      </c>
      <c r="C21" s="8">
        <v>2</v>
      </c>
      <c r="D21" s="7">
        <v>43130</v>
      </c>
      <c r="E21" s="8"/>
      <c r="F21" s="8"/>
      <c r="G21" s="8"/>
      <c r="H21" s="8"/>
      <c r="I21" s="8"/>
      <c r="J21" s="8"/>
      <c r="K21" s="8"/>
      <c r="L21" s="8"/>
      <c r="M21" s="8"/>
      <c r="N21" s="9" t="str">
        <f>HYPERLINK("mailto:Maureencrawford@hchd1.org","Maureen Crawford")</f>
        <v>Maureen Crawford</v>
      </c>
      <c r="O21" s="10" t="str">
        <f>HYPERLINK("mailto:Michael.Nordos@fda.hhs.gov","Michael Nordos")</f>
        <v>Michael Nordos</v>
      </c>
    </row>
    <row r="22" spans="1:15" ht="30" x14ac:dyDescent="0.25">
      <c r="A22" s="29" t="s">
        <v>517</v>
      </c>
      <c r="B22" s="12">
        <v>41249</v>
      </c>
      <c r="C22" s="13">
        <v>1</v>
      </c>
      <c r="D22" s="12">
        <v>41817</v>
      </c>
      <c r="E22" s="13"/>
      <c r="F22" s="13"/>
      <c r="G22" s="13"/>
      <c r="H22" s="13"/>
      <c r="I22" s="13"/>
      <c r="J22" s="13" t="s">
        <v>518</v>
      </c>
      <c r="K22" s="13"/>
      <c r="L22" s="13"/>
      <c r="M22" s="13"/>
      <c r="N22" s="14" t="str">
        <f>HYPERLINK("mailto:ddavid@henrystarkhealth.org","Dorothy David")</f>
        <v>Dorothy David</v>
      </c>
      <c r="O22" s="15" t="str">
        <f>HYPERLINK("mailto:Michael.Nordos@fda.hhs.gov","Michael Nordos")</f>
        <v>Michael Nordos</v>
      </c>
    </row>
    <row r="23" spans="1:15" ht="30" x14ac:dyDescent="0.25">
      <c r="A23" s="6" t="str">
        <f>HYPERLINK("http://www.idph.state.il.us/home.htm","Illinois Department of Public Health")</f>
        <v>Illinois Department of Public Health</v>
      </c>
      <c r="B23" s="7">
        <v>37502</v>
      </c>
      <c r="C23" s="8">
        <v>1</v>
      </c>
      <c r="D23" s="7">
        <v>38155</v>
      </c>
      <c r="E23" s="8"/>
      <c r="F23" s="8"/>
      <c r="G23" s="8"/>
      <c r="H23" s="8"/>
      <c r="I23" s="8" t="s">
        <v>519</v>
      </c>
      <c r="J23" s="8"/>
      <c r="K23" s="8" t="s">
        <v>519</v>
      </c>
      <c r="L23" s="8"/>
      <c r="M23" s="8"/>
      <c r="N23" s="8" t="s">
        <v>520</v>
      </c>
      <c r="O23" s="10" t="str">
        <f>HYPERLINK("mailto:Michael.Nordos@fda.hhs.gov","Michael Nordos")</f>
        <v>Michael Nordos</v>
      </c>
    </row>
    <row r="24" spans="1:15" ht="30" x14ac:dyDescent="0.25">
      <c r="A24" s="6" t="str">
        <f>HYPERLINK("http://www.idph.state.il.us/home.htm","Illinois Department of Public Health")</f>
        <v>Illinois Department of Public Health</v>
      </c>
      <c r="B24" s="7">
        <v>37502</v>
      </c>
      <c r="C24" s="8">
        <v>2</v>
      </c>
      <c r="D24" s="7">
        <v>41270</v>
      </c>
      <c r="E24" s="8"/>
      <c r="F24" s="8"/>
      <c r="G24" s="8"/>
      <c r="H24" s="8"/>
      <c r="I24" s="8" t="s">
        <v>521</v>
      </c>
      <c r="J24" s="8"/>
      <c r="K24" s="8" t="s">
        <v>521</v>
      </c>
      <c r="L24" s="8"/>
      <c r="M24" s="8"/>
      <c r="N24" s="8" t="s">
        <v>520</v>
      </c>
      <c r="O24" s="10" t="str">
        <f>HYPERLINK("mailto:Michael.Nordos@fda.hhs.gov","Michael Nordos")</f>
        <v>Michael Nordos</v>
      </c>
    </row>
    <row r="25" spans="1:15" ht="30" x14ac:dyDescent="0.25">
      <c r="A25" s="29" t="s">
        <v>403</v>
      </c>
      <c r="B25" s="12">
        <v>43004</v>
      </c>
      <c r="C25" s="13">
        <v>1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4" t="str">
        <f>HYPERLINK("mailto:kbrown@jasperhealth.org","Katelyn Brown")</f>
        <v>Katelyn Brown</v>
      </c>
      <c r="O25" s="15" t="str">
        <f>HYPERLINK("mailto:Michael.Nordos@fda.hhs.gov","Michael Nordos")</f>
        <v>Michael Nordos</v>
      </c>
    </row>
    <row r="26" spans="1:15" ht="30" x14ac:dyDescent="0.25">
      <c r="A26" s="28" t="s">
        <v>522</v>
      </c>
      <c r="B26" s="7">
        <v>40746</v>
      </c>
      <c r="C26" s="8">
        <v>1</v>
      </c>
      <c r="D26" s="7">
        <v>41379</v>
      </c>
      <c r="E26" s="8" t="s">
        <v>523</v>
      </c>
      <c r="F26" s="8"/>
      <c r="G26" s="8" t="s">
        <v>524</v>
      </c>
      <c r="H26" s="8"/>
      <c r="I26" s="8" t="s">
        <v>525</v>
      </c>
      <c r="J26" s="8" t="s">
        <v>526</v>
      </c>
      <c r="K26" s="8" t="s">
        <v>527</v>
      </c>
      <c r="L26" s="8"/>
      <c r="M26" s="8"/>
      <c r="N26" s="9" t="str">
        <f>HYPERLINK("mailto:ayates@jerseycountyhealth.org","Anna Yates")</f>
        <v>Anna Yates</v>
      </c>
      <c r="O26" s="10" t="str">
        <f>HYPERLINK("mailto:Michael.Nordos@fda.hhs.gov","Michael Nordos")</f>
        <v>Michael Nordos</v>
      </c>
    </row>
    <row r="27" spans="1:15" ht="30" x14ac:dyDescent="0.25">
      <c r="A27" s="28" t="s">
        <v>522</v>
      </c>
      <c r="B27" s="7">
        <v>40746</v>
      </c>
      <c r="C27" s="8">
        <v>2</v>
      </c>
      <c r="D27" s="7">
        <v>43202</v>
      </c>
      <c r="E27" s="8" t="s">
        <v>528</v>
      </c>
      <c r="F27" s="8"/>
      <c r="G27" s="8" t="s">
        <v>528</v>
      </c>
      <c r="H27" s="8"/>
      <c r="I27" s="8" t="s">
        <v>529</v>
      </c>
      <c r="J27" s="8" t="s">
        <v>528</v>
      </c>
      <c r="K27" s="8" t="s">
        <v>528</v>
      </c>
      <c r="L27" s="8" t="s">
        <v>528</v>
      </c>
      <c r="M27" s="8"/>
      <c r="N27" s="9" t="str">
        <f>HYPERLINK("mailto:ayates@jerseycountyhealth.org","Anna Yates")</f>
        <v>Anna Yates</v>
      </c>
      <c r="O27" s="10" t="str">
        <f>HYPERLINK("mailto:Michael.Nordos@fda.hhs.gov","Michael Nordos")</f>
        <v>Michael Nordos</v>
      </c>
    </row>
    <row r="28" spans="1:15" ht="30" x14ac:dyDescent="0.25">
      <c r="A28" s="29" t="s">
        <v>530</v>
      </c>
      <c r="B28" s="12">
        <v>40724</v>
      </c>
      <c r="C28" s="13">
        <v>1</v>
      </c>
      <c r="D28" s="12">
        <v>41086</v>
      </c>
      <c r="E28" s="13"/>
      <c r="F28" s="13"/>
      <c r="G28" s="13"/>
      <c r="H28" s="13"/>
      <c r="I28" s="13" t="s">
        <v>531</v>
      </c>
      <c r="J28" s="13"/>
      <c r="K28" s="13" t="s">
        <v>532</v>
      </c>
      <c r="L28" s="13"/>
      <c r="M28" s="13"/>
      <c r="N28" s="14" t="str">
        <f>HYPERLINK("mailto:EHess@co.kendall.il.us","Erich Hess")</f>
        <v>Erich Hess</v>
      </c>
      <c r="O28" s="15" t="str">
        <f>HYPERLINK("mailto:Michael.Nordos@fda.hhs.gov","Michael Nordos")</f>
        <v>Michael Nordos</v>
      </c>
    </row>
    <row r="29" spans="1:15" ht="30" x14ac:dyDescent="0.25">
      <c r="A29" s="29" t="s">
        <v>530</v>
      </c>
      <c r="B29" s="12">
        <v>40724</v>
      </c>
      <c r="C29" s="13">
        <v>2</v>
      </c>
      <c r="D29" s="12">
        <v>43004</v>
      </c>
      <c r="E29" s="13"/>
      <c r="F29" s="13"/>
      <c r="G29" s="13"/>
      <c r="H29" s="13"/>
      <c r="I29" s="13"/>
      <c r="J29" s="13"/>
      <c r="K29" s="13" t="s">
        <v>533</v>
      </c>
      <c r="L29" s="13"/>
      <c r="M29" s="13"/>
      <c r="N29" s="14" t="str">
        <f>HYPERLINK("mailto:rbrowning@co.kendall.il.us","Rachael Browning")</f>
        <v>Rachael Browning</v>
      </c>
      <c r="O29" s="15" t="str">
        <f>HYPERLINK("mailto:Michael.Nordos@fda.hhs.gov","Michael Nordos")</f>
        <v>Michael Nordos</v>
      </c>
    </row>
    <row r="30" spans="1:15" ht="30" x14ac:dyDescent="0.25">
      <c r="A30" s="6" t="str">
        <f>HYPERLINK("www.lasallecounty.org","LaSalle County Health Department")</f>
        <v>LaSalle County Health Department</v>
      </c>
      <c r="B30" s="7">
        <v>43553</v>
      </c>
      <c r="C30" s="8">
        <v>1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10" t="str">
        <f>HYPERLINK("mailto:Michael.Nordos@fda.hhs.gov","Michael Nordos")</f>
        <v>Michael Nordos</v>
      </c>
    </row>
    <row r="31" spans="1:15" ht="30" x14ac:dyDescent="0.25">
      <c r="A31" s="29" t="s">
        <v>534</v>
      </c>
      <c r="B31" s="12">
        <v>40359</v>
      </c>
      <c r="C31" s="13">
        <v>1</v>
      </c>
      <c r="D31" s="12">
        <v>40388</v>
      </c>
      <c r="E31" s="13" t="s">
        <v>535</v>
      </c>
      <c r="F31" s="13"/>
      <c r="G31" s="13"/>
      <c r="H31" s="13" t="s">
        <v>536</v>
      </c>
      <c r="I31" s="13" t="s">
        <v>535</v>
      </c>
      <c r="J31" s="13" t="s">
        <v>536</v>
      </c>
      <c r="K31" s="13" t="s">
        <v>536</v>
      </c>
      <c r="L31" s="13"/>
      <c r="M31" s="13"/>
      <c r="N31" s="14" t="str">
        <f>HYPERLINK("mailto:TTrader@lchd.com","Tim Trader")</f>
        <v>Tim Trader</v>
      </c>
      <c r="O31" s="15" t="str">
        <f>HYPERLINK("mailto:Michael.Nordos@fda.hhs.gov","Michael Nordos")</f>
        <v>Michael Nordos</v>
      </c>
    </row>
    <row r="32" spans="1:15" ht="30" x14ac:dyDescent="0.25">
      <c r="A32" s="29" t="s">
        <v>534</v>
      </c>
      <c r="B32" s="12">
        <v>40359</v>
      </c>
      <c r="C32" s="13">
        <v>2</v>
      </c>
      <c r="D32" s="12">
        <v>42640</v>
      </c>
      <c r="E32" s="13"/>
      <c r="F32" s="13" t="s">
        <v>537</v>
      </c>
      <c r="G32" s="13"/>
      <c r="H32" s="13"/>
      <c r="I32" s="13"/>
      <c r="J32" s="13" t="s">
        <v>538</v>
      </c>
      <c r="K32" s="13" t="s">
        <v>538</v>
      </c>
      <c r="L32" s="13" t="s">
        <v>539</v>
      </c>
      <c r="M32" s="13" t="s">
        <v>540</v>
      </c>
      <c r="N32" s="14" t="str">
        <f>HYPERLINK("mailto:amehl@boonehealth.org","Amanda Mehl")</f>
        <v>Amanda Mehl</v>
      </c>
      <c r="O32" s="15" t="str">
        <f>HYPERLINK("mailto:Michael.Nordos@fda.hhs.gov","Michael Nordos")</f>
        <v>Michael Nordos</v>
      </c>
    </row>
    <row r="33" spans="1:15" ht="30" x14ac:dyDescent="0.25">
      <c r="A33" s="28" t="s">
        <v>541</v>
      </c>
      <c r="B33" s="7">
        <v>40221</v>
      </c>
      <c r="C33" s="8">
        <v>1</v>
      </c>
      <c r="D33" s="7">
        <v>40178</v>
      </c>
      <c r="E33" s="8"/>
      <c r="F33" s="8"/>
      <c r="G33" s="8"/>
      <c r="H33" s="8"/>
      <c r="I33" s="8"/>
      <c r="J33" s="8"/>
      <c r="K33" s="8" t="s">
        <v>542</v>
      </c>
      <c r="L33" s="8"/>
      <c r="M33" s="8"/>
      <c r="N33" s="8" t="s">
        <v>543</v>
      </c>
      <c r="O33" s="10" t="str">
        <f>HYPERLINK("mailto:Michael.Nordos@fda.hhs.gov","Michael Nordos")</f>
        <v>Michael Nordos</v>
      </c>
    </row>
    <row r="34" spans="1:15" ht="30" x14ac:dyDescent="0.25">
      <c r="A34" s="29" t="s">
        <v>544</v>
      </c>
      <c r="B34" s="12">
        <v>42682</v>
      </c>
      <c r="C34" s="13">
        <v>1</v>
      </c>
      <c r="D34" s="12">
        <v>43034</v>
      </c>
      <c r="E34" s="13"/>
      <c r="F34" s="13"/>
      <c r="G34" s="13"/>
      <c r="H34" s="13"/>
      <c r="I34" s="13"/>
      <c r="J34" s="13"/>
      <c r="K34" s="13"/>
      <c r="L34" s="13"/>
      <c r="M34" s="13"/>
      <c r="N34" s="14" t="str">
        <f>HYPERLINK("mailto:tcorona@co.madison.il.us","Toni Corona")</f>
        <v>Toni Corona</v>
      </c>
      <c r="O34" s="15" t="str">
        <f>HYPERLINK("mailto:Michael.Nordos@fda.hhs.gov","Michael Nordos")</f>
        <v>Michael Nordos</v>
      </c>
    </row>
    <row r="35" spans="1:15" ht="30" x14ac:dyDescent="0.25">
      <c r="A35" s="28" t="s">
        <v>545</v>
      </c>
      <c r="B35" s="7">
        <v>40718</v>
      </c>
      <c r="C35" s="8">
        <v>1</v>
      </c>
      <c r="D35" s="7">
        <v>41092</v>
      </c>
      <c r="E35" s="8"/>
      <c r="F35" s="8"/>
      <c r="G35" s="8" t="s">
        <v>546</v>
      </c>
      <c r="H35" s="8"/>
      <c r="I35" s="8"/>
      <c r="J35" s="8"/>
      <c r="K35" s="8"/>
      <c r="L35" s="8"/>
      <c r="M35" s="8"/>
      <c r="N35" s="9" t="str">
        <f>HYPERLINK("mailto:envhealth@consolidated.net","Cyndy Howard")</f>
        <v>Cyndy Howard</v>
      </c>
      <c r="O35" s="10" t="str">
        <f>HYPERLINK("mailto:Michael.Nordos@fda.hhs.gov","Michael Nordos")</f>
        <v>Michael Nordos</v>
      </c>
    </row>
    <row r="36" spans="1:15" ht="30" x14ac:dyDescent="0.25">
      <c r="A36" s="28" t="s">
        <v>545</v>
      </c>
      <c r="B36" s="7">
        <v>40718</v>
      </c>
      <c r="C36" s="8">
        <v>2</v>
      </c>
      <c r="D36" s="7">
        <v>43008</v>
      </c>
      <c r="E36" s="8" t="s">
        <v>547</v>
      </c>
      <c r="F36" s="8" t="s">
        <v>548</v>
      </c>
      <c r="G36" s="8" t="s">
        <v>549</v>
      </c>
      <c r="H36" s="8"/>
      <c r="I36" s="8"/>
      <c r="J36" s="8"/>
      <c r="K36" s="8"/>
      <c r="L36" s="8"/>
      <c r="M36" s="8"/>
      <c r="N36" s="9" t="str">
        <f>HYPERLINK("mailto:envhealth@consolidated.net","Cyndy Howard")</f>
        <v>Cyndy Howard</v>
      </c>
      <c r="O36" s="10" t="str">
        <f>HYPERLINK("mailto:Michael.Nordos@fda.hhs.gov","Michael Nordos")</f>
        <v>Michael Nordos</v>
      </c>
    </row>
    <row r="37" spans="1:15" ht="30" x14ac:dyDescent="0.25">
      <c r="A37" s="29" t="s">
        <v>550</v>
      </c>
      <c r="B37" s="12">
        <v>41890</v>
      </c>
      <c r="C37" s="13">
        <v>1</v>
      </c>
      <c r="D37" s="12">
        <v>42584</v>
      </c>
      <c r="E37" s="13"/>
      <c r="F37" s="13"/>
      <c r="G37" s="13"/>
      <c r="H37" s="13"/>
      <c r="I37" s="13" t="s">
        <v>551</v>
      </c>
      <c r="J37" s="13"/>
      <c r="K37" s="13"/>
      <c r="L37" s="13"/>
      <c r="M37" s="13"/>
      <c r="N37" s="14" t="str">
        <f>HYPERLINK("mailto:pharmon@oglecounty.org","Joanie Padilla")</f>
        <v>Joanie Padilla</v>
      </c>
      <c r="O37" s="15" t="str">
        <f>HYPERLINK("mailto:Michael.Nordos@fda.hhs.gov","Michael Nordos")</f>
        <v>Michael Nordos</v>
      </c>
    </row>
    <row r="38" spans="1:15" ht="30" x14ac:dyDescent="0.25">
      <c r="A38" s="28" t="s">
        <v>552</v>
      </c>
      <c r="B38" s="7">
        <v>42550</v>
      </c>
      <c r="C38" s="8">
        <v>1</v>
      </c>
      <c r="D38" s="7">
        <v>42550</v>
      </c>
      <c r="E38" s="8"/>
      <c r="F38" s="8"/>
      <c r="G38" s="8"/>
      <c r="H38" s="8"/>
      <c r="I38" s="8"/>
      <c r="J38" s="8"/>
      <c r="K38" s="8" t="s">
        <v>553</v>
      </c>
      <c r="L38" s="8"/>
      <c r="M38" s="8"/>
      <c r="N38" s="9" t="str">
        <f>HYPERLINK("mailto:pharmon@oglecounty.org","Joanie Padilla")</f>
        <v>Joanie Padilla</v>
      </c>
      <c r="O38" s="10" t="str">
        <f>HYPERLINK("mailto:Michael.Nordos@fda.hhs.gov","Michael Nordos")</f>
        <v>Michael Nordos</v>
      </c>
    </row>
    <row r="39" spans="1:15" ht="30" x14ac:dyDescent="0.25">
      <c r="A39" s="11" t="str">
        <f>HYPERLINK("http://am.randolphco.org/index.php/environmental-health/foodsafe-rest-health","Randolph County Health Department")</f>
        <v>Randolph County Health Department</v>
      </c>
      <c r="B39" s="12">
        <v>42704</v>
      </c>
      <c r="C39" s="13">
        <v>1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4" t="str">
        <f>HYPERLINK("mailto:tsmith@randolphco.org","Thomas Smith")</f>
        <v>Thomas Smith</v>
      </c>
      <c r="O39" s="15" t="str">
        <f>HYPERLINK("mailto:Michael.Nordos@fda.hhs.gov","Michael Nordos")</f>
        <v>Michael Nordos</v>
      </c>
    </row>
    <row r="40" spans="1:15" ht="30" x14ac:dyDescent="0.25">
      <c r="A40" s="28" t="s">
        <v>554</v>
      </c>
      <c r="B40" s="7">
        <v>42877</v>
      </c>
      <c r="C40" s="8">
        <v>1</v>
      </c>
      <c r="D40" s="7">
        <v>42874</v>
      </c>
      <c r="E40" s="8" t="s">
        <v>555</v>
      </c>
      <c r="F40" s="8"/>
      <c r="G40" s="8"/>
      <c r="H40" s="8"/>
      <c r="I40" s="8" t="s">
        <v>555</v>
      </c>
      <c r="J40" s="8"/>
      <c r="K40" s="8" t="s">
        <v>556</v>
      </c>
      <c r="L40" s="8" t="s">
        <v>556</v>
      </c>
      <c r="M40" s="8"/>
      <c r="N40" s="8" t="s">
        <v>557</v>
      </c>
      <c r="O40" s="10" t="str">
        <f>HYPERLINK("mailto:Michael.Nordos@fda.hhs.gov","Michael Nordos")</f>
        <v>Michael Nordos</v>
      </c>
    </row>
    <row r="41" spans="1:15" ht="30" x14ac:dyDescent="0.25">
      <c r="A41" s="11" t="str">
        <f>HYPERLINK("http://www.schuylercountyhealth.com/","Schuyler County Health Department")</f>
        <v>Schuyler County Health Department</v>
      </c>
      <c r="B41" s="12">
        <v>40720</v>
      </c>
      <c r="C41" s="13">
        <v>1</v>
      </c>
      <c r="D41" s="12">
        <v>41075</v>
      </c>
      <c r="E41" s="13"/>
      <c r="F41" s="13"/>
      <c r="G41" s="13" t="s">
        <v>558</v>
      </c>
      <c r="H41" s="13"/>
      <c r="I41" s="13" t="s">
        <v>558</v>
      </c>
      <c r="J41" s="13"/>
      <c r="K41" s="13" t="s">
        <v>558</v>
      </c>
      <c r="L41" s="13"/>
      <c r="M41" s="13"/>
      <c r="N41" s="13" t="s">
        <v>559</v>
      </c>
      <c r="O41" s="15" t="str">
        <f>HYPERLINK("mailto:Michael.Nordos@fda.hhs.gov","Michael Nordos")</f>
        <v>Michael Nordos</v>
      </c>
    </row>
    <row r="42" spans="1:15" ht="30" x14ac:dyDescent="0.25">
      <c r="A42" s="28" t="s">
        <v>560</v>
      </c>
      <c r="B42" s="7">
        <v>43390</v>
      </c>
      <c r="C42" s="8">
        <v>1</v>
      </c>
      <c r="D42" s="8"/>
      <c r="E42" s="8"/>
      <c r="F42" s="8"/>
      <c r="G42" s="8"/>
      <c r="H42" s="8"/>
      <c r="I42" s="8"/>
      <c r="J42" s="8"/>
      <c r="K42" s="8"/>
      <c r="L42" s="8"/>
      <c r="M42" s="8"/>
      <c r="N42" s="9" t="str">
        <f>HYPERLINK("mailto:not provided","Tammy Cannon")</f>
        <v>Tammy Cannon</v>
      </c>
      <c r="O42" s="10" t="str">
        <f>HYPERLINK("mailto:Michael.Nordos@fda.hhs.gov","Michael Nordos")</f>
        <v>Michael Nordos</v>
      </c>
    </row>
    <row r="43" spans="1:15" ht="30" x14ac:dyDescent="0.25">
      <c r="A43" s="11" t="str">
        <f>HYPERLINK("http://www.southern7.org/","Southern Seven Health Department")</f>
        <v>Southern Seven Health Department</v>
      </c>
      <c r="B43" s="12">
        <v>40750</v>
      </c>
      <c r="C43" s="13">
        <v>1</v>
      </c>
      <c r="D43" s="12">
        <v>41085</v>
      </c>
      <c r="E43" s="13"/>
      <c r="F43" s="13"/>
      <c r="G43" s="13"/>
      <c r="H43" s="13"/>
      <c r="I43" s="13"/>
      <c r="J43" s="13"/>
      <c r="K43" s="13" t="s">
        <v>561</v>
      </c>
      <c r="L43" s="13" t="s">
        <v>562</v>
      </c>
      <c r="M43" s="13" t="s">
        <v>562</v>
      </c>
      <c r="N43" s="13" t="s">
        <v>563</v>
      </c>
      <c r="O43" s="15" t="str">
        <f>HYPERLINK("mailto:Michael.Nordos@fda.hhs.gov","Michael Nordos")</f>
        <v>Michael Nordos</v>
      </c>
    </row>
    <row r="44" spans="1:15" ht="30" x14ac:dyDescent="0.25">
      <c r="A44" s="6" t="str">
        <f>HYPERLINK("www.health.co.st-clair.il.us","St. Clair County Health Department")</f>
        <v>St. Clair County Health Department</v>
      </c>
      <c r="B44" s="7">
        <v>40354</v>
      </c>
      <c r="C44" s="8">
        <v>1</v>
      </c>
      <c r="D44" s="7">
        <v>40354</v>
      </c>
      <c r="E44" s="8"/>
      <c r="F44" s="8"/>
      <c r="G44" s="8"/>
      <c r="H44" s="8"/>
      <c r="I44" s="8"/>
      <c r="J44" s="8"/>
      <c r="K44" s="8"/>
      <c r="L44" s="8"/>
      <c r="M44" s="8"/>
      <c r="N44" s="9" t="str">
        <f>HYPERLINK("mailto:sharon.valentine@co.st-clair.il.us","Sharon Valentine")</f>
        <v>Sharon Valentine</v>
      </c>
      <c r="O44" s="10" t="str">
        <f>HYPERLINK("mailto:Michael.Nordos@fda.hhs.gov","Michael Nordos")</f>
        <v>Michael Nordos</v>
      </c>
    </row>
    <row r="45" spans="1:15" ht="30" x14ac:dyDescent="0.25">
      <c r="A45" s="6" t="str">
        <f>HYPERLINK("www.health.co.st-clair.il.us","St. Clair County Health Department")</f>
        <v>St. Clair County Health Department</v>
      </c>
      <c r="B45" s="7">
        <v>40354</v>
      </c>
      <c r="C45" s="8">
        <v>2</v>
      </c>
      <c r="D45" s="7">
        <v>43432</v>
      </c>
      <c r="E45" s="8"/>
      <c r="F45" s="8"/>
      <c r="G45" s="8"/>
      <c r="H45" s="8"/>
      <c r="I45" s="8"/>
      <c r="J45" s="8"/>
      <c r="K45" s="8"/>
      <c r="L45" s="8"/>
      <c r="M45" s="8"/>
      <c r="N45" s="9" t="str">
        <f>HYPERLINK("mailto:sharon.valentine@co.st-clair.il.us","Sharon Valentine")</f>
        <v>Sharon Valentine</v>
      </c>
      <c r="O45" s="10" t="str">
        <f>HYPERLINK("mailto:Michael.Nordos@fda.hhs.gov","Michael Nordos")</f>
        <v>Michael Nordos</v>
      </c>
    </row>
    <row r="46" spans="1:15" ht="30" x14ac:dyDescent="0.25">
      <c r="A46" s="11" t="str">
        <f>HYPERLINK("http://www.henrystarkhealth.com/","Stark County Health Department")</f>
        <v>Stark County Health Department</v>
      </c>
      <c r="B46" s="12">
        <v>41249</v>
      </c>
      <c r="C46" s="13">
        <v>1</v>
      </c>
      <c r="D46" s="12">
        <v>41840</v>
      </c>
      <c r="E46" s="13"/>
      <c r="F46" s="13"/>
      <c r="G46" s="13"/>
      <c r="H46" s="13"/>
      <c r="I46" s="13"/>
      <c r="J46" s="13" t="s">
        <v>564</v>
      </c>
      <c r="K46" s="13"/>
      <c r="L46" s="13"/>
      <c r="M46" s="13"/>
      <c r="N46" s="14" t="str">
        <f>HYPERLINK("mailto:ddavid@henrystarkhealth.org","Dorothy David")</f>
        <v>Dorothy David</v>
      </c>
      <c r="O46" s="15" t="str">
        <f>HYPERLINK("mailto:Michael.Nordos@fda.hhs.gov","Michael Nordos")</f>
        <v>Michael Nordos</v>
      </c>
    </row>
    <row r="47" spans="1:15" ht="30" x14ac:dyDescent="0.25">
      <c r="A47" s="28" t="s">
        <v>565</v>
      </c>
      <c r="B47" s="7">
        <v>42282</v>
      </c>
      <c r="C47" s="8">
        <v>1</v>
      </c>
      <c r="D47" s="7">
        <v>42419</v>
      </c>
      <c r="E47" s="8"/>
      <c r="F47" s="8"/>
      <c r="G47" s="8" t="s">
        <v>566</v>
      </c>
      <c r="H47" s="8" t="s">
        <v>566</v>
      </c>
      <c r="I47" s="8" t="s">
        <v>566</v>
      </c>
      <c r="J47" s="8"/>
      <c r="K47" s="8" t="s">
        <v>566</v>
      </c>
      <c r="L47" s="8"/>
      <c r="M47" s="8"/>
      <c r="N47" s="9" t="str">
        <f>HYPERLINK("mailto:eneavear@tchd.net","Evelyn Neavear")</f>
        <v>Evelyn Neavear</v>
      </c>
      <c r="O47" s="10" t="str">
        <f>HYPERLINK("mailto:Michael.Nordos@fda.hhs.gov","Michael Nordos")</f>
        <v>Michael Nordos</v>
      </c>
    </row>
    <row r="48" spans="1:15" ht="30" x14ac:dyDescent="0.25">
      <c r="A48" s="29" t="s">
        <v>567</v>
      </c>
      <c r="B48" s="12">
        <v>41858</v>
      </c>
      <c r="C48" s="13">
        <v>1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4" t="str">
        <f>HYPERLINK("mailto:david.clough@skokie.org","David Clough")</f>
        <v>David Clough</v>
      </c>
      <c r="O48" s="15" t="str">
        <f>HYPERLINK("mailto:Michael.Nordos@fda.hhs.gov","Michael Nordos")</f>
        <v>Michael Nordos</v>
      </c>
    </row>
    <row r="49" spans="1:15" ht="30" x14ac:dyDescent="0.25">
      <c r="A49" s="27" t="s">
        <v>423</v>
      </c>
      <c r="B49" s="17">
        <v>40343</v>
      </c>
      <c r="C49" s="18">
        <v>1</v>
      </c>
      <c r="D49" s="17">
        <v>41088</v>
      </c>
      <c r="E49" s="18"/>
      <c r="F49" s="18"/>
      <c r="G49" s="18"/>
      <c r="H49" s="18"/>
      <c r="I49" s="18"/>
      <c r="J49" s="18"/>
      <c r="K49" s="18" t="s">
        <v>513</v>
      </c>
      <c r="L49" s="18"/>
      <c r="M49" s="18"/>
      <c r="N49" s="18" t="s">
        <v>568</v>
      </c>
      <c r="O49" s="20" t="str">
        <f>HYPERLINK("mailto:Michael.Nordos@fda.hhs.gov","Michael Nordos")</f>
        <v>Michael Nordos</v>
      </c>
    </row>
  </sheetData>
  <pageMargins left="0.15" right="0.15" top="0.25" bottom="0.25" header="0.05" footer="0.05"/>
  <pageSetup orientation="landscape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985C4-16C1-4173-AB2F-D1BA630198A7}">
  <sheetPr>
    <pageSetUpPr fitToPage="1"/>
  </sheetPr>
  <dimension ref="A1:O15"/>
  <sheetViews>
    <sheetView workbookViewId="0"/>
  </sheetViews>
  <sheetFormatPr defaultRowHeight="15" x14ac:dyDescent="0.25"/>
  <cols>
    <col min="1" max="1" width="33.7109375" customWidth="1"/>
    <col min="2" max="2" width="14.85546875" customWidth="1"/>
    <col min="3" max="3" width="18.42578125" customWidth="1"/>
    <col min="4" max="4" width="22" customWidth="1"/>
    <col min="5" max="13" width="17.28515625" customWidth="1"/>
    <col min="14" max="14" width="14.85546875" customWidth="1"/>
    <col min="15" max="15" width="13.140625" customWidth="1"/>
  </cols>
  <sheetData>
    <row r="1" spans="1:15" x14ac:dyDescent="0.25">
      <c r="A1" t="s">
        <v>585</v>
      </c>
      <c r="B1" s="2" t="str">
        <f>HYPERLINK("#Introduction!A1","Back to Introduction Page")</f>
        <v>Back to Introduction Page</v>
      </c>
    </row>
    <row r="2" spans="1:15" x14ac:dyDescent="0.25">
      <c r="A2" s="21" t="s">
        <v>586</v>
      </c>
    </row>
    <row r="3" spans="1:15" ht="45" x14ac:dyDescent="0.25">
      <c r="A3" s="4" t="s">
        <v>15</v>
      </c>
      <c r="B3" s="3" t="s">
        <v>16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21</v>
      </c>
      <c r="H3" s="3" t="s">
        <v>22</v>
      </c>
      <c r="I3" s="3" t="s">
        <v>23</v>
      </c>
      <c r="J3" s="3" t="s">
        <v>24</v>
      </c>
      <c r="K3" s="3" t="s">
        <v>25</v>
      </c>
      <c r="L3" s="3" t="s">
        <v>26</v>
      </c>
      <c r="M3" s="3" t="s">
        <v>27</v>
      </c>
      <c r="N3" s="3" t="s">
        <v>28</v>
      </c>
      <c r="O3" s="5" t="s">
        <v>29</v>
      </c>
    </row>
    <row r="4" spans="1:15" ht="45" x14ac:dyDescent="0.25">
      <c r="A4" s="6" t="str">
        <f>HYPERLINK("http://cms.bsu.edu/about/administrativeoffices/riskmanagement/ehs","Ball State University - Environmental Health and Safety")</f>
        <v>Ball State University - Environmental Health and Safety</v>
      </c>
      <c r="B4" s="7">
        <v>42488</v>
      </c>
      <c r="C4" s="8">
        <v>1</v>
      </c>
      <c r="D4" s="8"/>
      <c r="E4" s="8"/>
      <c r="F4" s="8"/>
      <c r="G4" s="8"/>
      <c r="H4" s="8"/>
      <c r="I4" s="8"/>
      <c r="J4" s="8"/>
      <c r="K4" s="8"/>
      <c r="L4" s="8"/>
      <c r="M4" s="8"/>
      <c r="N4" s="9" t="str">
        <f>HYPERLINK("mailto:lharley@bsu.ed","Lynetta S. Harley")</f>
        <v>Lynetta S. Harley</v>
      </c>
      <c r="O4" s="10" t="str">
        <f>HYPERLINK("mailto:Kris.Moore@fda.hhs.gov","Kris Moore")</f>
        <v>Kris Moore</v>
      </c>
    </row>
    <row r="5" spans="1:15" ht="30" x14ac:dyDescent="0.25">
      <c r="A5" s="29" t="s">
        <v>571</v>
      </c>
      <c r="B5" s="12">
        <v>42676</v>
      </c>
      <c r="C5" s="13">
        <v>1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4" t="str">
        <f>HYPERLINK("mailto:Jason.LeMaster@hamiltoncounty.in.gov","Jason LeMaster")</f>
        <v>Jason LeMaster</v>
      </c>
      <c r="O5" s="15" t="str">
        <f>HYPERLINK("mailto:Kris.Moore@fda.hhs.gov","Kris Moore")</f>
        <v>Kris Moore</v>
      </c>
    </row>
    <row r="6" spans="1:15" ht="30" x14ac:dyDescent="0.25">
      <c r="A6" s="6" t="str">
        <f>HYPERLINK("http://www.co.hendricks.in.us/health.html","Hendricks County Health Department")</f>
        <v>Hendricks County Health Department</v>
      </c>
      <c r="B6" s="7">
        <v>39469</v>
      </c>
      <c r="C6" s="8">
        <v>1</v>
      </c>
      <c r="D6" s="7">
        <v>39834</v>
      </c>
      <c r="E6" s="8" t="s">
        <v>572</v>
      </c>
      <c r="F6" s="8"/>
      <c r="G6" s="8"/>
      <c r="H6" s="8"/>
      <c r="I6" s="8"/>
      <c r="J6" s="8"/>
      <c r="K6" s="8" t="s">
        <v>572</v>
      </c>
      <c r="L6" s="8"/>
      <c r="M6" s="8"/>
      <c r="N6" s="9" t="str">
        <f>HYPERLINK("mailto:lchandler@co.hendricks.in.us","Lisa Chandler")</f>
        <v>Lisa Chandler</v>
      </c>
      <c r="O6" s="10" t="str">
        <f>HYPERLINK("mailto:Kris.Moore@fda.hhs.gov","Kris Moore")</f>
        <v>Kris Moore</v>
      </c>
    </row>
    <row r="7" spans="1:15" ht="30" x14ac:dyDescent="0.25">
      <c r="A7" s="6" t="str">
        <f>HYPERLINK("http://www.co.hendricks.in.us/health.html","Hendricks County Health Department")</f>
        <v>Hendricks County Health Department</v>
      </c>
      <c r="B7" s="7">
        <v>39469</v>
      </c>
      <c r="C7" s="8">
        <v>2</v>
      </c>
      <c r="D7" s="7">
        <v>41900</v>
      </c>
      <c r="E7" s="8"/>
      <c r="F7" s="8"/>
      <c r="G7" s="8"/>
      <c r="H7" s="8"/>
      <c r="I7" s="8"/>
      <c r="J7" s="8"/>
      <c r="K7" s="8" t="s">
        <v>573</v>
      </c>
      <c r="L7" s="8"/>
      <c r="M7" s="8"/>
      <c r="N7" s="9" t="str">
        <f>HYPERLINK("mailto:lchandler@co.hendricks.in.us","Lisa Chandler")</f>
        <v>Lisa Chandler</v>
      </c>
      <c r="O7" s="10" t="str">
        <f>HYPERLINK("mailto:Kris.Moore@fda.hhs.gov","Kris Moore")</f>
        <v>Kris Moore</v>
      </c>
    </row>
    <row r="8" spans="1:15" ht="30" x14ac:dyDescent="0.25">
      <c r="A8" s="11" t="str">
        <f>HYPERLINK("http://www.in.gov/isdh","Indiana State Department of Health")</f>
        <v>Indiana State Department of Health</v>
      </c>
      <c r="B8" s="12">
        <v>39840</v>
      </c>
      <c r="C8" s="13">
        <v>1</v>
      </c>
      <c r="D8" s="12">
        <v>40303</v>
      </c>
      <c r="E8" s="13"/>
      <c r="F8" s="13"/>
      <c r="G8" s="13"/>
      <c r="H8" s="13"/>
      <c r="I8" s="13"/>
      <c r="J8" s="13"/>
      <c r="K8" s="13" t="s">
        <v>574</v>
      </c>
      <c r="L8" s="13"/>
      <c r="M8" s="13"/>
      <c r="N8" s="13" t="s">
        <v>575</v>
      </c>
      <c r="O8" s="15" t="str">
        <f>HYPERLINK("mailto:Kris.Moore@fda.hhs.gov","Kris Moore")</f>
        <v>Kris Moore</v>
      </c>
    </row>
    <row r="9" spans="1:15" ht="30" x14ac:dyDescent="0.25">
      <c r="A9" s="11" t="str">
        <f>HYPERLINK("http://www.in.gov/isdh","Indiana State Department of Health")</f>
        <v>Indiana State Department of Health</v>
      </c>
      <c r="B9" s="12">
        <v>39840</v>
      </c>
      <c r="C9" s="13">
        <v>2</v>
      </c>
      <c r="D9" s="12">
        <v>41455</v>
      </c>
      <c r="E9" s="13"/>
      <c r="F9" s="13"/>
      <c r="G9" s="13"/>
      <c r="H9" s="13"/>
      <c r="I9" s="13"/>
      <c r="J9" s="13"/>
      <c r="K9" s="13"/>
      <c r="L9" s="13"/>
      <c r="M9" s="13"/>
      <c r="N9" s="13" t="s">
        <v>575</v>
      </c>
      <c r="O9" s="15" t="str">
        <f>HYPERLINK("mailto:Kris.Moore@fda.hhs.gov","Kris Moore")</f>
        <v>Kris Moore</v>
      </c>
    </row>
    <row r="10" spans="1:15" ht="30" x14ac:dyDescent="0.25">
      <c r="A10" s="11" t="str">
        <f>HYPERLINK("http://www.in.gov/isdh","Indiana State Department of Health")</f>
        <v>Indiana State Department of Health</v>
      </c>
      <c r="B10" s="12">
        <v>39840</v>
      </c>
      <c r="C10" s="13">
        <v>3</v>
      </c>
      <c r="D10" s="12">
        <v>43245</v>
      </c>
      <c r="E10" s="13"/>
      <c r="F10" s="13"/>
      <c r="G10" s="13" t="s">
        <v>576</v>
      </c>
      <c r="H10" s="13"/>
      <c r="I10" s="13" t="s">
        <v>577</v>
      </c>
      <c r="J10" s="13"/>
      <c r="K10" s="13" t="s">
        <v>577</v>
      </c>
      <c r="L10" s="13"/>
      <c r="M10" s="13"/>
      <c r="N10" s="14" t="str">
        <f>HYPERLINK("mailto:whouchin@isdh.in.gov","Bill Houchin")</f>
        <v>Bill Houchin</v>
      </c>
      <c r="O10" s="15" t="str">
        <f>HYPERLINK("mailto:Kris.Moore@fda.hhs.gov","Kris Moore")</f>
        <v>Kris Moore</v>
      </c>
    </row>
    <row r="11" spans="1:15" ht="45" x14ac:dyDescent="0.25">
      <c r="A11" s="6" t="str">
        <f>HYPERLINK("http://www.ehs.iu.edu/","Indiana University Office of Environmental Health and Safety Management")</f>
        <v>Indiana University Office of Environmental Health and Safety Management</v>
      </c>
      <c r="B11" s="7">
        <v>41081</v>
      </c>
      <c r="C11" s="8">
        <v>1</v>
      </c>
      <c r="D11" s="7">
        <v>42052</v>
      </c>
      <c r="E11" s="8"/>
      <c r="F11" s="8"/>
      <c r="G11" s="8"/>
      <c r="H11" s="8"/>
      <c r="I11" s="8"/>
      <c r="J11" s="8"/>
      <c r="K11" s="8"/>
      <c r="L11" s="8"/>
      <c r="M11" s="8"/>
      <c r="N11" s="9" t="str">
        <f>HYPERLINK("mailto:gmckeen@iu.edu","Graham McKeen")</f>
        <v>Graham McKeen</v>
      </c>
      <c r="O11" s="10" t="str">
        <f>HYPERLINK("mailto:Kris.Moore@fda.hhs.gov","Kris Moore")</f>
        <v>Kris Moore</v>
      </c>
    </row>
    <row r="12" spans="1:15" ht="30" x14ac:dyDescent="0.25">
      <c r="A12" s="11" t="str">
        <f>HYPERLINK("http://www.marioncountyhealth.org/","Marion County Public Health Department")</f>
        <v>Marion County Public Health Department</v>
      </c>
      <c r="B12" s="12">
        <v>39087</v>
      </c>
      <c r="C12" s="13">
        <v>1</v>
      </c>
      <c r="D12" s="12">
        <v>39451</v>
      </c>
      <c r="E12" s="13" t="s">
        <v>578</v>
      </c>
      <c r="F12" s="13"/>
      <c r="G12" s="13" t="s">
        <v>578</v>
      </c>
      <c r="H12" s="13" t="s">
        <v>578</v>
      </c>
      <c r="I12" s="13"/>
      <c r="J12" s="13" t="s">
        <v>578</v>
      </c>
      <c r="K12" s="13" t="s">
        <v>578</v>
      </c>
      <c r="L12" s="13"/>
      <c r="M12" s="13"/>
      <c r="N12" s="14" t="str">
        <f>HYPERLINK("mailto:JKaufman@MarionHealth.org","Janelle Kaufman")</f>
        <v>Janelle Kaufman</v>
      </c>
      <c r="O12" s="15" t="str">
        <f>HYPERLINK("mailto:Kris.Moore@fda.hhs.gov","Kris Moore")</f>
        <v>Kris Moore</v>
      </c>
    </row>
    <row r="13" spans="1:15" ht="30" x14ac:dyDescent="0.25">
      <c r="A13" s="11" t="str">
        <f>HYPERLINK("http://www.marioncountyhealth.org/","Marion County Public Health Department")</f>
        <v>Marion County Public Health Department</v>
      </c>
      <c r="B13" s="12">
        <v>39087</v>
      </c>
      <c r="C13" s="13">
        <v>2</v>
      </c>
      <c r="D13" s="12">
        <v>42191</v>
      </c>
      <c r="E13" s="13"/>
      <c r="F13" s="13"/>
      <c r="G13" s="13"/>
      <c r="H13" s="13"/>
      <c r="I13" s="13" t="s">
        <v>579</v>
      </c>
      <c r="J13" s="13"/>
      <c r="K13" s="13" t="s">
        <v>580</v>
      </c>
      <c r="L13" s="13"/>
      <c r="M13" s="13"/>
      <c r="N13" s="14" t="str">
        <f>HYPERLINK("mailto:JKaufman@MarionHealth.org","Janelle Kaufman")</f>
        <v>Janelle Kaufman</v>
      </c>
      <c r="O13" s="15" t="str">
        <f>HYPERLINK("mailto:Kris.Moore@fda.hhs.gov","Kris Moore")</f>
        <v>Kris Moore</v>
      </c>
    </row>
    <row r="14" spans="1:15" ht="30" x14ac:dyDescent="0.25">
      <c r="A14" s="6" t="str">
        <f>HYPERLINK("http://www.morgancountyhealth.com/","Morgan County Health Department")</f>
        <v>Morgan County Health Department</v>
      </c>
      <c r="B14" s="7">
        <v>40721</v>
      </c>
      <c r="C14" s="8">
        <v>1</v>
      </c>
      <c r="D14" s="7">
        <v>41029</v>
      </c>
      <c r="E14" s="8"/>
      <c r="F14" s="8" t="s">
        <v>581</v>
      </c>
      <c r="G14" s="8"/>
      <c r="H14" s="8"/>
      <c r="I14" s="8"/>
      <c r="J14" s="8"/>
      <c r="K14" s="8"/>
      <c r="L14" s="8"/>
      <c r="M14" s="8"/>
      <c r="N14" s="9" t="str">
        <f>HYPERLINK("mailto:e2friedme@yahoo.com","Elizabeth Young")</f>
        <v>Elizabeth Young</v>
      </c>
      <c r="O14" s="10" t="str">
        <f>HYPERLINK("mailto:Kris.Moore@fda.hhs.gov","Kris Moore")</f>
        <v>Kris Moore</v>
      </c>
    </row>
    <row r="15" spans="1:15" ht="45" x14ac:dyDescent="0.25">
      <c r="A15" s="22" t="str">
        <f>HYPERLINK("http://www.purdue.edu/","Purdue University - Radiological &amp; Environmental Management")</f>
        <v>Purdue University - Radiological &amp; Environmental Management</v>
      </c>
      <c r="B15" s="23">
        <v>41177</v>
      </c>
      <c r="C15" s="24">
        <v>1</v>
      </c>
      <c r="D15" s="23">
        <v>41354</v>
      </c>
      <c r="E15" s="24"/>
      <c r="F15" s="24" t="s">
        <v>582</v>
      </c>
      <c r="G15" s="24" t="s">
        <v>582</v>
      </c>
      <c r="H15" s="24" t="s">
        <v>583</v>
      </c>
      <c r="I15" s="24"/>
      <c r="J15" s="24" t="s">
        <v>584</v>
      </c>
      <c r="K15" s="24" t="s">
        <v>584</v>
      </c>
      <c r="L15" s="24"/>
      <c r="M15" s="24"/>
      <c r="N15" s="25" t="str">
        <f>HYPERLINK("mailto:jkasbury@purdue.edu","Jennifer Asbury")</f>
        <v>Jennifer Asbury</v>
      </c>
      <c r="O15" s="26" t="str">
        <f>HYPERLINK("mailto:Kris.Moore@fda.hhs.gov","Kris Moore")</f>
        <v>Kris Moore</v>
      </c>
    </row>
  </sheetData>
  <pageMargins left="0.15" right="0.15" top="0.25" bottom="0.25" header="0.05" footer="0.05"/>
  <pageSetup orientation="landscape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C634A-B851-4417-8A92-6A740BEA7511}">
  <sheetPr>
    <pageSetUpPr fitToPage="1"/>
  </sheetPr>
  <dimension ref="A1:O30"/>
  <sheetViews>
    <sheetView workbookViewId="0"/>
  </sheetViews>
  <sheetFormatPr defaultRowHeight="15" x14ac:dyDescent="0.25"/>
  <cols>
    <col min="1" max="1" width="33.7109375" customWidth="1"/>
    <col min="2" max="2" width="14.85546875" customWidth="1"/>
    <col min="3" max="3" width="18.42578125" customWidth="1"/>
    <col min="4" max="4" width="22" customWidth="1"/>
    <col min="5" max="13" width="17.28515625" customWidth="1"/>
    <col min="14" max="14" width="14.85546875" customWidth="1"/>
    <col min="15" max="15" width="13.140625" customWidth="1"/>
  </cols>
  <sheetData>
    <row r="1" spans="1:15" x14ac:dyDescent="0.25">
      <c r="A1" t="s">
        <v>660</v>
      </c>
      <c r="B1" s="2" t="str">
        <f>HYPERLINK("#Introduction!A1","Back to Introduction Page")</f>
        <v>Back to Introduction Page</v>
      </c>
    </row>
    <row r="2" spans="1:15" x14ac:dyDescent="0.25">
      <c r="A2" s="21" t="s">
        <v>661</v>
      </c>
    </row>
    <row r="3" spans="1:15" ht="45" x14ac:dyDescent="0.25">
      <c r="A3" s="4" t="s">
        <v>15</v>
      </c>
      <c r="B3" s="3" t="s">
        <v>16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21</v>
      </c>
      <c r="H3" s="3" t="s">
        <v>22</v>
      </c>
      <c r="I3" s="3" t="s">
        <v>23</v>
      </c>
      <c r="J3" s="3" t="s">
        <v>24</v>
      </c>
      <c r="K3" s="3" t="s">
        <v>25</v>
      </c>
      <c r="L3" s="3" t="s">
        <v>26</v>
      </c>
      <c r="M3" s="3" t="s">
        <v>27</v>
      </c>
      <c r="N3" s="3" t="s">
        <v>28</v>
      </c>
      <c r="O3" s="5" t="s">
        <v>29</v>
      </c>
    </row>
    <row r="4" spans="1:15" ht="30" x14ac:dyDescent="0.25">
      <c r="A4" s="6" t="str">
        <f>HYPERLINK("http://www.monroecoia.us/","ADLM Counties Environmental Public Health")</f>
        <v>ADLM Counties Environmental Public Health</v>
      </c>
      <c r="B4" s="7">
        <v>37771</v>
      </c>
      <c r="C4" s="8">
        <v>1</v>
      </c>
      <c r="D4" s="7">
        <v>38132</v>
      </c>
      <c r="E4" s="8"/>
      <c r="F4" s="8"/>
      <c r="G4" s="8"/>
      <c r="H4" s="8"/>
      <c r="I4" s="8"/>
      <c r="J4" s="8" t="s">
        <v>587</v>
      </c>
      <c r="K4" s="8" t="s">
        <v>587</v>
      </c>
      <c r="L4" s="8"/>
      <c r="M4" s="8"/>
      <c r="N4" s="9" t="str">
        <f>HYPERLINK("mailto:ddaly-husted@adlmcounties.com","Dianna Husted")</f>
        <v>Dianna Husted</v>
      </c>
      <c r="O4" s="10" t="str">
        <f>HYPERLINK("mailto:Michael.Nordos@fda.hhs.gov","Michael Nordos")</f>
        <v>Michael Nordos</v>
      </c>
    </row>
    <row r="5" spans="1:15" ht="30" x14ac:dyDescent="0.25">
      <c r="A5" s="6" t="str">
        <f>HYPERLINK("http://www.monroecoia.us/","ADLM Counties Environmental Public Health")</f>
        <v>ADLM Counties Environmental Public Health</v>
      </c>
      <c r="B5" s="7">
        <v>37771</v>
      </c>
      <c r="C5" s="8">
        <v>2</v>
      </c>
      <c r="D5" s="7">
        <v>41001</v>
      </c>
      <c r="E5" s="8"/>
      <c r="F5" s="8" t="s">
        <v>588</v>
      </c>
      <c r="G5" s="8" t="s">
        <v>589</v>
      </c>
      <c r="H5" s="8"/>
      <c r="I5" s="8"/>
      <c r="J5" s="8" t="s">
        <v>588</v>
      </c>
      <c r="K5" s="8" t="s">
        <v>590</v>
      </c>
      <c r="L5" s="8"/>
      <c r="M5" s="8"/>
      <c r="N5" s="9" t="str">
        <f>HYPERLINK("mailto:ddaly-husted@adlmcounties.com","Dianna Husted")</f>
        <v>Dianna Husted</v>
      </c>
      <c r="O5" s="10" t="str">
        <f>HYPERLINK("mailto:Michael.Nordos@fda.hhs.gov","Michael Nordos")</f>
        <v>Michael Nordos</v>
      </c>
    </row>
    <row r="6" spans="1:15" ht="30" x14ac:dyDescent="0.25">
      <c r="A6" s="6" t="str">
        <f>HYPERLINK("http://www.monroecoia.us/","ADLM Counties Environmental Public Health")</f>
        <v>ADLM Counties Environmental Public Health</v>
      </c>
      <c r="B6" s="7">
        <v>37771</v>
      </c>
      <c r="C6" s="8">
        <v>3</v>
      </c>
      <c r="D6" s="7">
        <v>41992</v>
      </c>
      <c r="E6" s="8"/>
      <c r="F6" s="8" t="s">
        <v>591</v>
      </c>
      <c r="G6" s="8" t="s">
        <v>592</v>
      </c>
      <c r="H6" s="8" t="s">
        <v>593</v>
      </c>
      <c r="I6" s="8"/>
      <c r="J6" s="8" t="s">
        <v>594</v>
      </c>
      <c r="K6" s="8"/>
      <c r="L6" s="8"/>
      <c r="M6" s="8"/>
      <c r="N6" s="9" t="str">
        <f>HYPERLINK("mailto:ddaly-husted@adlmcounties.com","Dianna Husted")</f>
        <v>Dianna Husted</v>
      </c>
      <c r="O6" s="10" t="str">
        <f>HYPERLINK("mailto:Michael.Nordos@fda.hhs.gov","Michael Nordos")</f>
        <v>Michael Nordos</v>
      </c>
    </row>
    <row r="7" spans="1:15" ht="30" x14ac:dyDescent="0.25">
      <c r="A7" s="29" t="s">
        <v>595</v>
      </c>
      <c r="B7" s="12">
        <v>40723</v>
      </c>
      <c r="C7" s="13">
        <v>1</v>
      </c>
      <c r="D7" s="12">
        <v>41087</v>
      </c>
      <c r="E7" s="13" t="s">
        <v>596</v>
      </c>
      <c r="F7" s="13"/>
      <c r="G7" s="13" t="s">
        <v>596</v>
      </c>
      <c r="H7" s="13"/>
      <c r="I7" s="13"/>
      <c r="J7" s="13"/>
      <c r="K7" s="13" t="s">
        <v>596</v>
      </c>
      <c r="L7" s="13"/>
      <c r="M7" s="13"/>
      <c r="N7" s="14" t="str">
        <f>HYPERLINK("mailto:sheinen@co.black-hawk.ia.us","Sandy Heinen")</f>
        <v>Sandy Heinen</v>
      </c>
      <c r="O7" s="15" t="str">
        <f>HYPERLINK("mailto:Michael.Nordos@fda.hhs.gov","Michael Nordos")</f>
        <v>Michael Nordos</v>
      </c>
    </row>
    <row r="8" spans="1:15" ht="30" x14ac:dyDescent="0.25">
      <c r="A8" s="28" t="s">
        <v>597</v>
      </c>
      <c r="B8" s="7">
        <v>40968</v>
      </c>
      <c r="C8" s="8">
        <v>1</v>
      </c>
      <c r="D8" s="7">
        <v>41304</v>
      </c>
      <c r="E8" s="8"/>
      <c r="F8" s="8"/>
      <c r="G8" s="8"/>
      <c r="H8" s="8"/>
      <c r="I8" s="8"/>
      <c r="J8" s="8"/>
      <c r="K8" s="8"/>
      <c r="L8" s="8"/>
      <c r="M8" s="8"/>
      <c r="N8" s="9" t="str">
        <f>HYPERLINK("mailto:kjohnson@bvcountyiowa.com","Kim Johnson")</f>
        <v>Kim Johnson</v>
      </c>
      <c r="O8" s="10" t="str">
        <f>HYPERLINK("mailto:Michael.Nordos@fda.hhs.gov","Michael Nordos")</f>
        <v>Michael Nordos</v>
      </c>
    </row>
    <row r="9" spans="1:15" ht="30" x14ac:dyDescent="0.25">
      <c r="A9" s="11" t="str">
        <f>HYPERLINK("http://www.cghealth.com/","Cerro Gordo County Department of Public Health")</f>
        <v>Cerro Gordo County Department of Public Health</v>
      </c>
      <c r="B9" s="12">
        <v>40990</v>
      </c>
      <c r="C9" s="13">
        <v>1</v>
      </c>
      <c r="D9" s="12">
        <v>41064</v>
      </c>
      <c r="E9" s="13"/>
      <c r="F9" s="13" t="s">
        <v>598</v>
      </c>
      <c r="G9" s="13" t="s">
        <v>599</v>
      </c>
      <c r="H9" s="13" t="s">
        <v>600</v>
      </c>
      <c r="I9" s="13" t="s">
        <v>601</v>
      </c>
      <c r="J9" s="13" t="s">
        <v>602</v>
      </c>
      <c r="K9" s="13" t="s">
        <v>603</v>
      </c>
      <c r="L9" s="13" t="s">
        <v>604</v>
      </c>
      <c r="M9" s="13" t="s">
        <v>605</v>
      </c>
      <c r="N9" s="14" t="str">
        <f>HYPERLINK("mailto:eh3@cghealth.com","Daniel Ries")</f>
        <v>Daniel Ries</v>
      </c>
      <c r="O9" s="15" t="str">
        <f>HYPERLINK("mailto:Michael.Nordos@fda.hhs.gov","Michael Nordos")</f>
        <v>Michael Nordos</v>
      </c>
    </row>
    <row r="10" spans="1:15" ht="30" x14ac:dyDescent="0.25">
      <c r="A10" s="11" t="str">
        <f>HYPERLINK("http://www.cghealth.com/","Cerro Gordo County Department of Public Health")</f>
        <v>Cerro Gordo County Department of Public Health</v>
      </c>
      <c r="B10" s="12">
        <v>40990</v>
      </c>
      <c r="C10" s="13">
        <v>2</v>
      </c>
      <c r="D10" s="12">
        <v>42889</v>
      </c>
      <c r="E10" s="13"/>
      <c r="F10" s="13" t="s">
        <v>606</v>
      </c>
      <c r="G10" s="13" t="s">
        <v>607</v>
      </c>
      <c r="H10" s="13"/>
      <c r="I10" s="13"/>
      <c r="J10" s="13" t="s">
        <v>602</v>
      </c>
      <c r="K10" s="13" t="s">
        <v>608</v>
      </c>
      <c r="L10" s="13" t="s">
        <v>609</v>
      </c>
      <c r="M10" s="13" t="s">
        <v>605</v>
      </c>
      <c r="N10" s="14" t="str">
        <f>HYPERLINK("mailto:eh3@cghealth.com","Daniel Ries")</f>
        <v>Daniel Ries</v>
      </c>
      <c r="O10" s="15" t="str">
        <f>HYPERLINK("mailto:Michael.Nordos@fda.hhs.gov","Michael Nordos")</f>
        <v>Michael Nordos</v>
      </c>
    </row>
    <row r="11" spans="1:15" ht="30" x14ac:dyDescent="0.25">
      <c r="A11" s="6" t="str">
        <f>HYPERLINK("http://www.cityofdubuque.org/index.aspx?NID=152","City of Dubuque Health Services")</f>
        <v>City of Dubuque Health Services</v>
      </c>
      <c r="B11" s="7">
        <v>40723</v>
      </c>
      <c r="C11" s="8">
        <v>1</v>
      </c>
      <c r="D11" s="7">
        <v>41027</v>
      </c>
      <c r="E11" s="8" t="s">
        <v>610</v>
      </c>
      <c r="F11" s="8" t="s">
        <v>611</v>
      </c>
      <c r="G11" s="8" t="s">
        <v>612</v>
      </c>
      <c r="H11" s="8" t="s">
        <v>613</v>
      </c>
      <c r="I11" s="8"/>
      <c r="J11" s="8" t="s">
        <v>614</v>
      </c>
      <c r="K11" s="8" t="s">
        <v>612</v>
      </c>
      <c r="L11" s="8"/>
      <c r="M11" s="8"/>
      <c r="N11" s="9" t="str">
        <f>HYPERLINK("mailto:tlink@cityofdubuque.org","Timothy Link")</f>
        <v>Timothy Link</v>
      </c>
      <c r="O11" s="10" t="str">
        <f>HYPERLINK("mailto:Michael.Nordos@fda.hhs.gov","Michael Nordos")</f>
        <v>Michael Nordos</v>
      </c>
    </row>
    <row r="12" spans="1:15" ht="30" x14ac:dyDescent="0.25">
      <c r="A12" s="6" t="str">
        <f>HYPERLINK("http://www.cityofdubuque.org/index.aspx?NID=152","City of Dubuque Health Services")</f>
        <v>City of Dubuque Health Services</v>
      </c>
      <c r="B12" s="7">
        <v>40723</v>
      </c>
      <c r="C12" s="8">
        <v>2</v>
      </c>
      <c r="D12" s="7">
        <v>42852</v>
      </c>
      <c r="E12" s="8" t="s">
        <v>610</v>
      </c>
      <c r="F12" s="8" t="s">
        <v>615</v>
      </c>
      <c r="G12" s="8" t="s">
        <v>616</v>
      </c>
      <c r="H12" s="8"/>
      <c r="I12" s="8"/>
      <c r="J12" s="8" t="s">
        <v>616</v>
      </c>
      <c r="K12" s="8" t="s">
        <v>615</v>
      </c>
      <c r="L12" s="8"/>
      <c r="M12" s="8"/>
      <c r="N12" s="9" t="str">
        <f>HYPERLINK("mailto:tlink@cityofdubuque.org","Timothy Link")</f>
        <v>Timothy Link</v>
      </c>
      <c r="O12" s="10" t="str">
        <f>HYPERLINK("mailto:Michael.Nordos@fda.hhs.gov","Michael Nordos")</f>
        <v>Michael Nordos</v>
      </c>
    </row>
    <row r="13" spans="1:15" ht="30" x14ac:dyDescent="0.25">
      <c r="A13" s="11" t="str">
        <f>HYPERLINK("https://www.idacounty.org/county_departments/default.asp","Ida County Environmental Health")</f>
        <v>Ida County Environmental Health</v>
      </c>
      <c r="B13" s="12">
        <v>41050</v>
      </c>
      <c r="C13" s="13">
        <v>1</v>
      </c>
      <c r="D13" s="12">
        <v>41292</v>
      </c>
      <c r="E13" s="13"/>
      <c r="F13" s="13" t="s">
        <v>617</v>
      </c>
      <c r="G13" s="13" t="s">
        <v>618</v>
      </c>
      <c r="H13" s="13"/>
      <c r="I13" s="13"/>
      <c r="J13" s="13"/>
      <c r="K13" s="13"/>
      <c r="L13" s="13"/>
      <c r="M13" s="13"/>
      <c r="N13" s="14" t="str">
        <f>HYPERLINK("mailto:idaenvir@pionet.net","Cheryl Andresen")</f>
        <v>Cheryl Andresen</v>
      </c>
      <c r="O13" s="15" t="str">
        <f>HYPERLINK("mailto:Michael.Nordos@fda.hhs.gov","Michael Nordos")</f>
        <v>Michael Nordos</v>
      </c>
    </row>
    <row r="14" spans="1:15" ht="30" x14ac:dyDescent="0.25">
      <c r="A14" s="6" t="str">
        <f>HYPERLINK("http://www.state.ia.us/government/dia/","Iowa Department of Inspections and Appeals")</f>
        <v>Iowa Department of Inspections and Appeals</v>
      </c>
      <c r="B14" s="7">
        <v>37190</v>
      </c>
      <c r="C14" s="8">
        <v>1</v>
      </c>
      <c r="D14" s="7">
        <v>37483</v>
      </c>
      <c r="E14" s="8"/>
      <c r="F14" s="8" t="s">
        <v>619</v>
      </c>
      <c r="G14" s="8"/>
      <c r="H14" s="8" t="s">
        <v>619</v>
      </c>
      <c r="I14" s="8"/>
      <c r="J14" s="8" t="s">
        <v>619</v>
      </c>
      <c r="K14" s="8" t="s">
        <v>619</v>
      </c>
      <c r="L14" s="8"/>
      <c r="M14" s="8" t="s">
        <v>619</v>
      </c>
      <c r="N14" s="9" t="str">
        <f>HYPERLINK("mailto:Mark.Speltz@dia.iowa.gov","Mark Speltz")</f>
        <v>Mark Speltz</v>
      </c>
      <c r="O14" s="10" t="str">
        <f>HYPERLINK("mailto:Michael.Nordos@fda.hhs.gov","Michael Nordos")</f>
        <v>Michael Nordos</v>
      </c>
    </row>
    <row r="15" spans="1:15" ht="30" x14ac:dyDescent="0.25">
      <c r="A15" s="6" t="str">
        <f>HYPERLINK("http://www.state.ia.us/government/dia/","Iowa Department of Inspections and Appeals")</f>
        <v>Iowa Department of Inspections and Appeals</v>
      </c>
      <c r="B15" s="7">
        <v>37190</v>
      </c>
      <c r="C15" s="8">
        <v>2</v>
      </c>
      <c r="D15" s="7">
        <v>40724</v>
      </c>
      <c r="E15" s="8"/>
      <c r="F15" s="8" t="s">
        <v>620</v>
      </c>
      <c r="G15" s="8" t="s">
        <v>620</v>
      </c>
      <c r="H15" s="8"/>
      <c r="I15" s="8"/>
      <c r="J15" s="8" t="s">
        <v>620</v>
      </c>
      <c r="K15" s="8" t="s">
        <v>620</v>
      </c>
      <c r="L15" s="8"/>
      <c r="M15" s="8"/>
      <c r="N15" s="9" t="str">
        <f>HYPERLINK("mailto:Mark.Speltz@dia.iowa.gov","Mark Speltz")</f>
        <v>Mark Speltz</v>
      </c>
      <c r="O15" s="10" t="str">
        <f>HYPERLINK("mailto:Michael.Nordos@fda.hhs.gov","Michael Nordos")</f>
        <v>Michael Nordos</v>
      </c>
    </row>
    <row r="16" spans="1:15" ht="30" x14ac:dyDescent="0.25">
      <c r="A16" s="6" t="str">
        <f>HYPERLINK("http://www.state.ia.us/government/dia/","Iowa Department of Inspections and Appeals")</f>
        <v>Iowa Department of Inspections and Appeals</v>
      </c>
      <c r="B16" s="7">
        <v>37190</v>
      </c>
      <c r="C16" s="8">
        <v>3</v>
      </c>
      <c r="D16" s="7">
        <v>42191</v>
      </c>
      <c r="E16" s="8"/>
      <c r="F16" s="8" t="s">
        <v>621</v>
      </c>
      <c r="G16" s="8" t="s">
        <v>622</v>
      </c>
      <c r="H16" s="8" t="s">
        <v>621</v>
      </c>
      <c r="I16" s="8"/>
      <c r="J16" s="8"/>
      <c r="K16" s="8" t="s">
        <v>623</v>
      </c>
      <c r="L16" s="8"/>
      <c r="M16" s="8" t="s">
        <v>621</v>
      </c>
      <c r="N16" s="9" t="str">
        <f>HYPERLINK("mailto:Mark.Speltz@dia.iowa.gov","Mark Speltz")</f>
        <v>Mark Speltz</v>
      </c>
      <c r="O16" s="10" t="str">
        <f>HYPERLINK("mailto:Michael.Nordos@fda.hhs.gov","Michael Nordos")</f>
        <v>Michael Nordos</v>
      </c>
    </row>
    <row r="17" spans="1:15" ht="30" x14ac:dyDescent="0.25">
      <c r="A17" s="6" t="str">
        <f>HYPERLINK("http://www.state.ia.us/government/dia/","Iowa Department of Inspections and Appeals")</f>
        <v>Iowa Department of Inspections and Appeals</v>
      </c>
      <c r="B17" s="7">
        <v>37190</v>
      </c>
      <c r="C17" s="8">
        <v>4</v>
      </c>
      <c r="D17" s="7">
        <v>43193</v>
      </c>
      <c r="E17" s="8" t="s">
        <v>624</v>
      </c>
      <c r="F17" s="8" t="s">
        <v>624</v>
      </c>
      <c r="G17" s="8" t="s">
        <v>624</v>
      </c>
      <c r="H17" s="8" t="s">
        <v>624</v>
      </c>
      <c r="I17" s="8" t="s">
        <v>624</v>
      </c>
      <c r="J17" s="8" t="s">
        <v>624</v>
      </c>
      <c r="K17" s="8" t="s">
        <v>624</v>
      </c>
      <c r="L17" s="8"/>
      <c r="M17" s="8" t="s">
        <v>624</v>
      </c>
      <c r="N17" s="9" t="str">
        <f>HYPERLINK("mailto:Mark.Speltz@dia.iowa.gov","Mark Speltz")</f>
        <v>Mark Speltz</v>
      </c>
      <c r="O17" s="10" t="str">
        <f>HYPERLINK("mailto:Michael.Nordos@fda.hhs.gov","Michael Nordos")</f>
        <v>Michael Nordos</v>
      </c>
    </row>
    <row r="18" spans="1:15" ht="30" x14ac:dyDescent="0.25">
      <c r="A18" s="29" t="s">
        <v>625</v>
      </c>
      <c r="B18" s="12">
        <v>40738</v>
      </c>
      <c r="C18" s="13">
        <v>1</v>
      </c>
      <c r="D18" s="12">
        <v>41064</v>
      </c>
      <c r="E18" s="13"/>
      <c r="F18" s="13"/>
      <c r="G18" s="13" t="s">
        <v>626</v>
      </c>
      <c r="H18" s="13" t="s">
        <v>627</v>
      </c>
      <c r="I18" s="13"/>
      <c r="J18" s="13" t="s">
        <v>628</v>
      </c>
      <c r="K18" s="13"/>
      <c r="L18" s="13"/>
      <c r="M18" s="13"/>
      <c r="N18" s="14" t="str">
        <f>HYPERLINK("mailto:bmills@co.johnson.ia.us","Becky Mills")</f>
        <v>Becky Mills</v>
      </c>
      <c r="O18" s="15" t="str">
        <f>HYPERLINK("mailto:Michael.Nordos@fda.hhs.gov","Michael Nordos")</f>
        <v>Michael Nordos</v>
      </c>
    </row>
    <row r="19" spans="1:15" ht="30" x14ac:dyDescent="0.25">
      <c r="A19" s="29" t="s">
        <v>625</v>
      </c>
      <c r="B19" s="12">
        <v>42697</v>
      </c>
      <c r="C19" s="13">
        <v>2</v>
      </c>
      <c r="D19" s="12">
        <v>43033</v>
      </c>
      <c r="E19" s="13"/>
      <c r="F19" s="13" t="s">
        <v>629</v>
      </c>
      <c r="G19" s="13" t="s">
        <v>630</v>
      </c>
      <c r="H19" s="13" t="s">
        <v>631</v>
      </c>
      <c r="I19" s="13"/>
      <c r="J19" s="13"/>
      <c r="K19" s="13"/>
      <c r="L19" s="13"/>
      <c r="M19" s="13"/>
      <c r="N19" s="14" t="str">
        <f>HYPERLINK("mailto:jlacina@co.johnson.ia.us","James Lacina")</f>
        <v>James Lacina</v>
      </c>
      <c r="O19" s="15" t="str">
        <f>HYPERLINK("mailto:Michael.Nordos@fda.hhs.gov","Michael Nordos")</f>
        <v>Michael Nordos</v>
      </c>
    </row>
    <row r="20" spans="1:15" ht="30" x14ac:dyDescent="0.25">
      <c r="A20" s="6" t="str">
        <f>HYPERLINK("http://leecountyhd.org/index.php/en/","Lee County Health Department")</f>
        <v>Lee County Health Department</v>
      </c>
      <c r="B20" s="7">
        <v>37846</v>
      </c>
      <c r="C20" s="8">
        <v>1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9" t="str">
        <f>HYPERLINK("mailto:RHaukedahl@leecountyhd.org","Rosa Haukedahl")</f>
        <v>Rosa Haukedahl</v>
      </c>
      <c r="O20" s="10" t="str">
        <f>HYPERLINK("mailto:Michael.Nordos@fda.hhs.gov","Michael Nordos")</f>
        <v>Michael Nordos</v>
      </c>
    </row>
    <row r="21" spans="1:15" ht="30" x14ac:dyDescent="0.25">
      <c r="A21" s="6" t="str">
        <f>HYPERLINK("http://leecountyhd.org/index.php/en/","Lee County Health Department")</f>
        <v>Lee County Health Department</v>
      </c>
      <c r="B21" s="7">
        <v>37846</v>
      </c>
      <c r="C21" s="8">
        <v>2</v>
      </c>
      <c r="D21" s="7">
        <v>40267</v>
      </c>
      <c r="E21" s="8"/>
      <c r="F21" s="8"/>
      <c r="G21" s="8" t="s">
        <v>632</v>
      </c>
      <c r="H21" s="8"/>
      <c r="I21" s="8"/>
      <c r="J21" s="8"/>
      <c r="K21" s="8" t="s">
        <v>632</v>
      </c>
      <c r="L21" s="8"/>
      <c r="M21" s="8"/>
      <c r="N21" s="9" t="str">
        <f>HYPERLINK("mailto:RHaukedahl@leecountyhd.org","Rosa Haukedahl")</f>
        <v>Rosa Haukedahl</v>
      </c>
      <c r="O21" s="10" t="str">
        <f>HYPERLINK("mailto:Michael.Nordos@fda.hhs.gov","Michael Nordos")</f>
        <v>Michael Nordos</v>
      </c>
    </row>
    <row r="22" spans="1:15" ht="30" x14ac:dyDescent="0.25">
      <c r="A22" s="6" t="str">
        <f>HYPERLINK("http://leecountyhd.org/index.php/en/","Lee County Health Department")</f>
        <v>Lee County Health Department</v>
      </c>
      <c r="B22" s="7">
        <v>37846</v>
      </c>
      <c r="C22" s="8">
        <v>3</v>
      </c>
      <c r="D22" s="7">
        <v>43008</v>
      </c>
      <c r="E22" s="8"/>
      <c r="F22" s="8" t="s">
        <v>633</v>
      </c>
      <c r="G22" s="8" t="s">
        <v>633</v>
      </c>
      <c r="H22" s="8" t="s">
        <v>633</v>
      </c>
      <c r="I22" s="8"/>
      <c r="J22" s="8" t="s">
        <v>633</v>
      </c>
      <c r="K22" s="8"/>
      <c r="L22" s="8"/>
      <c r="M22" s="8"/>
      <c r="N22" s="9" t="str">
        <f>HYPERLINK("mailto:RHaukedahl@leecountyhd.org","Rosa Haukedahl")</f>
        <v>Rosa Haukedahl</v>
      </c>
      <c r="O22" s="10" t="str">
        <f>HYPERLINK("mailto:Michael.Nordos@fda.hhs.gov","Michael Nordos")</f>
        <v>Michael Nordos</v>
      </c>
    </row>
    <row r="23" spans="1:15" ht="30" x14ac:dyDescent="0.25">
      <c r="A23" s="29" t="s">
        <v>634</v>
      </c>
      <c r="B23" s="12">
        <v>41683</v>
      </c>
      <c r="C23" s="13">
        <v>1</v>
      </c>
      <c r="D23" s="12">
        <v>41957</v>
      </c>
      <c r="E23" s="13" t="s">
        <v>635</v>
      </c>
      <c r="F23" s="13" t="s">
        <v>636</v>
      </c>
      <c r="G23" s="13"/>
      <c r="H23" s="13"/>
      <c r="I23" s="13"/>
      <c r="J23" s="13" t="s">
        <v>635</v>
      </c>
      <c r="K23" s="13" t="s">
        <v>635</v>
      </c>
      <c r="L23" s="13"/>
      <c r="M23" s="13" t="s">
        <v>635</v>
      </c>
      <c r="N23" s="14" t="str">
        <f>HYPERLINK("mailto:james.hodina@linncounty.org","James Hodina")</f>
        <v>James Hodina</v>
      </c>
      <c r="O23" s="15" t="str">
        <f>HYPERLINK("mailto:Michael.Nordos@fda.hhs.gov","Michael Nordos")</f>
        <v>Michael Nordos</v>
      </c>
    </row>
    <row r="24" spans="1:15" ht="30" x14ac:dyDescent="0.25">
      <c r="A24" s="6" t="str">
        <f>HYPERLINK("https://www.scottcountyiowa.com/health/food","Scott County Health Department")</f>
        <v>Scott County Health Department</v>
      </c>
      <c r="B24" s="7">
        <v>40864</v>
      </c>
      <c r="C24" s="8">
        <v>1</v>
      </c>
      <c r="D24" s="7">
        <v>41219</v>
      </c>
      <c r="E24" s="8" t="s">
        <v>637</v>
      </c>
      <c r="F24" s="8" t="s">
        <v>637</v>
      </c>
      <c r="G24" s="8" t="s">
        <v>638</v>
      </c>
      <c r="H24" s="8" t="s">
        <v>637</v>
      </c>
      <c r="I24" s="8"/>
      <c r="J24" s="8" t="s">
        <v>639</v>
      </c>
      <c r="K24" s="8"/>
      <c r="L24" s="8"/>
      <c r="M24" s="8"/>
      <c r="N24" s="9" t="str">
        <f>HYPERLINK("mailto:Eric.Bradley@scottcountyiowa.com","Eric Bradley")</f>
        <v>Eric Bradley</v>
      </c>
      <c r="O24" s="10" t="str">
        <f>HYPERLINK("mailto:Michael.Nordos@fda.hhs.gov","Michael Nordos")</f>
        <v>Michael Nordos</v>
      </c>
    </row>
    <row r="25" spans="1:15" ht="30" x14ac:dyDescent="0.25">
      <c r="A25" s="6" t="str">
        <f>HYPERLINK("https://www.scottcountyiowa.com/health/food","Scott County Health Department")</f>
        <v>Scott County Health Department</v>
      </c>
      <c r="B25" s="7">
        <v>40864</v>
      </c>
      <c r="C25" s="8">
        <v>2</v>
      </c>
      <c r="D25" s="7">
        <v>43048</v>
      </c>
      <c r="E25" s="8" t="s">
        <v>640</v>
      </c>
      <c r="F25" s="8" t="s">
        <v>640</v>
      </c>
      <c r="G25" s="8" t="s">
        <v>641</v>
      </c>
      <c r="H25" s="8" t="s">
        <v>642</v>
      </c>
      <c r="I25" s="8"/>
      <c r="J25" s="8" t="s">
        <v>643</v>
      </c>
      <c r="K25" s="8"/>
      <c r="L25" s="8"/>
      <c r="M25" s="8"/>
      <c r="N25" s="9" t="str">
        <f>HYPERLINK("mailto:eric.bradley@scottcountyiowa.com","Eric Bradley")</f>
        <v>Eric Bradley</v>
      </c>
      <c r="O25" s="10" t="str">
        <f>HYPERLINK("mailto:Michael.Nordos@fda.hhs.gov","Michael Nordos")</f>
        <v>Michael Nordos</v>
      </c>
    </row>
    <row r="26" spans="1:15" ht="30" x14ac:dyDescent="0.25">
      <c r="A26" s="29" t="s">
        <v>644</v>
      </c>
      <c r="B26" s="12">
        <v>40723</v>
      </c>
      <c r="C26" s="13">
        <v>1</v>
      </c>
      <c r="D26" s="12">
        <v>42257</v>
      </c>
      <c r="E26" s="13"/>
      <c r="F26" s="13" t="s">
        <v>645</v>
      </c>
      <c r="G26" s="13" t="s">
        <v>646</v>
      </c>
      <c r="H26" s="13" t="s">
        <v>647</v>
      </c>
      <c r="I26" s="13"/>
      <c r="J26" s="13"/>
      <c r="K26" s="13"/>
      <c r="L26" s="13"/>
      <c r="M26" s="13"/>
      <c r="N26" s="14" t="str">
        <f>HYPERLINK("mailto:tdaringer@shco.org","Terri Daringer")</f>
        <v>Terri Daringer</v>
      </c>
      <c r="O26" s="15" t="str">
        <f>HYPERLINK("mailto:Michael.Nordos@fda.hhs.gov","Michael Nordos")</f>
        <v>Michael Nordos</v>
      </c>
    </row>
    <row r="27" spans="1:15" ht="30" x14ac:dyDescent="0.25">
      <c r="A27" s="6" t="str">
        <f>HYPERLINK("http://www.siouxlanddistricthealth.org/","Siouxland District Health Department")</f>
        <v>Siouxland District Health Department</v>
      </c>
      <c r="B27" s="7">
        <v>37791</v>
      </c>
      <c r="C27" s="8">
        <v>1</v>
      </c>
      <c r="D27" s="7">
        <v>38544</v>
      </c>
      <c r="E27" s="8"/>
      <c r="F27" s="8" t="s">
        <v>648</v>
      </c>
      <c r="G27" s="8" t="s">
        <v>649</v>
      </c>
      <c r="H27" s="8"/>
      <c r="I27" s="8"/>
      <c r="J27" s="8" t="s">
        <v>650</v>
      </c>
      <c r="K27" s="8" t="s">
        <v>651</v>
      </c>
      <c r="L27" s="8"/>
      <c r="M27" s="8"/>
      <c r="N27" s="9" t="str">
        <f>HYPERLINK("mailto:mclausen@sioux-city.org","Michele Clausen-Rosendahl")</f>
        <v>Michele Clausen-Rosendahl</v>
      </c>
      <c r="O27" s="10" t="str">
        <f>HYPERLINK("mailto:Michael.Nordos@fda.hhs.gov","Michael Nordos")</f>
        <v>Michael Nordos</v>
      </c>
    </row>
    <row r="28" spans="1:15" ht="30" x14ac:dyDescent="0.25">
      <c r="A28" s="6" t="str">
        <f>HYPERLINK("http://www.siouxlanddistricthealth.org/","Siouxland District Health Department")</f>
        <v>Siouxland District Health Department</v>
      </c>
      <c r="B28" s="7">
        <v>37791</v>
      </c>
      <c r="C28" s="8">
        <v>2</v>
      </c>
      <c r="D28" s="7">
        <v>42187</v>
      </c>
      <c r="E28" s="8"/>
      <c r="F28" s="8"/>
      <c r="G28" s="8" t="s">
        <v>652</v>
      </c>
      <c r="H28" s="8"/>
      <c r="I28" s="8"/>
      <c r="J28" s="8" t="s">
        <v>653</v>
      </c>
      <c r="K28" s="8"/>
      <c r="L28" s="8"/>
      <c r="M28" s="8"/>
      <c r="N28" s="9" t="str">
        <f>HYPERLINK("mailto:mclausen@sioux-city.org","Michele Clausen-Rosendahl")</f>
        <v>Michele Clausen-Rosendahl</v>
      </c>
      <c r="O28" s="10" t="str">
        <f>HYPERLINK("mailto:Michael.Nordos@fda.hhs.gov","Michael Nordos")</f>
        <v>Michael Nordos</v>
      </c>
    </row>
    <row r="29" spans="1:15" ht="30" x14ac:dyDescent="0.25">
      <c r="A29" s="11" t="str">
        <f>HYPERLINK("http://co.washington.ia.us/202/Environmental-Health","Washington County Environment Department")</f>
        <v>Washington County Environment Department</v>
      </c>
      <c r="B29" s="12">
        <v>40755</v>
      </c>
      <c r="C29" s="13">
        <v>1</v>
      </c>
      <c r="D29" s="12">
        <v>41039</v>
      </c>
      <c r="E29" s="13"/>
      <c r="F29" s="13" t="s">
        <v>654</v>
      </c>
      <c r="G29" s="13" t="s">
        <v>655</v>
      </c>
      <c r="H29" s="13" t="s">
        <v>656</v>
      </c>
      <c r="I29" s="13"/>
      <c r="J29" s="13" t="s">
        <v>655</v>
      </c>
      <c r="K29" s="13"/>
      <c r="L29" s="13"/>
      <c r="M29" s="13"/>
      <c r="N29" s="14" t="str">
        <f>HYPERLINK("mailto:jwolf@co.washington.ia.us","Jennine Wolf")</f>
        <v>Jennine Wolf</v>
      </c>
      <c r="O29" s="15" t="str">
        <f>HYPERLINK("mailto:Michael.Nordos@fda.hhs.gov","Michael Nordos")</f>
        <v>Michael Nordos</v>
      </c>
    </row>
    <row r="30" spans="1:15" ht="30" x14ac:dyDescent="0.25">
      <c r="A30" s="22" t="str">
        <f>HYPERLINK("http://co.washington.ia.us/202/Environmental-Health","Washington County Environment Department")</f>
        <v>Washington County Environment Department</v>
      </c>
      <c r="B30" s="23">
        <v>40755</v>
      </c>
      <c r="C30" s="24">
        <v>2</v>
      </c>
      <c r="D30" s="23">
        <v>43056</v>
      </c>
      <c r="E30" s="24"/>
      <c r="F30" s="24" t="s">
        <v>657</v>
      </c>
      <c r="G30" s="24" t="s">
        <v>658</v>
      </c>
      <c r="H30" s="24" t="s">
        <v>657</v>
      </c>
      <c r="I30" s="24"/>
      <c r="J30" s="24" t="s">
        <v>659</v>
      </c>
      <c r="K30" s="24"/>
      <c r="L30" s="24"/>
      <c r="M30" s="24"/>
      <c r="N30" s="25" t="str">
        <f>HYPERLINK("mailto:jwolf@co.washington.ia.us","Jennine Wolf")</f>
        <v>Jennine Wolf</v>
      </c>
      <c r="O30" s="26" t="str">
        <f>HYPERLINK("mailto:Michael.Nordos@fda.hhs.gov","Michael Nordos")</f>
        <v>Michael Nordos</v>
      </c>
    </row>
  </sheetData>
  <pageMargins left="0.15" right="0.15" top="0.25" bottom="0.25" header="0.05" footer="0.05"/>
  <pageSetup orientation="landscape"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0F77F-4EBB-4B62-B8EF-0A693E05E65F}">
  <sheetPr>
    <pageSetUpPr fitToPage="1"/>
  </sheetPr>
  <dimension ref="A1:O5"/>
  <sheetViews>
    <sheetView workbookViewId="0"/>
  </sheetViews>
  <sheetFormatPr defaultRowHeight="15" x14ac:dyDescent="0.25"/>
  <cols>
    <col min="1" max="1" width="33.7109375" customWidth="1"/>
    <col min="2" max="2" width="14.85546875" customWidth="1"/>
    <col min="3" max="3" width="18.42578125" customWidth="1"/>
    <col min="4" max="4" width="22" customWidth="1"/>
    <col min="5" max="13" width="17.28515625" customWidth="1"/>
    <col min="14" max="14" width="14.85546875" customWidth="1"/>
    <col min="15" max="15" width="13.140625" customWidth="1"/>
  </cols>
  <sheetData>
    <row r="1" spans="1:15" x14ac:dyDescent="0.25">
      <c r="A1" t="s">
        <v>665</v>
      </c>
      <c r="B1" s="2" t="str">
        <f>HYPERLINK("#Introduction!A1","Back to Introduction Page")</f>
        <v>Back to Introduction Page</v>
      </c>
    </row>
    <row r="2" spans="1:15" x14ac:dyDescent="0.25">
      <c r="A2" s="21" t="s">
        <v>666</v>
      </c>
    </row>
    <row r="3" spans="1:15" ht="45" x14ac:dyDescent="0.25">
      <c r="A3" s="4" t="s">
        <v>15</v>
      </c>
      <c r="B3" s="3" t="s">
        <v>16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21</v>
      </c>
      <c r="H3" s="3" t="s">
        <v>22</v>
      </c>
      <c r="I3" s="3" t="s">
        <v>23</v>
      </c>
      <c r="J3" s="3" t="s">
        <v>24</v>
      </c>
      <c r="K3" s="3" t="s">
        <v>25</v>
      </c>
      <c r="L3" s="3" t="s">
        <v>26</v>
      </c>
      <c r="M3" s="3" t="s">
        <v>27</v>
      </c>
      <c r="N3" s="3" t="s">
        <v>28</v>
      </c>
      <c r="O3" s="5" t="s">
        <v>29</v>
      </c>
    </row>
    <row r="4" spans="1:15" ht="30" x14ac:dyDescent="0.25">
      <c r="A4" s="28" t="s">
        <v>662</v>
      </c>
      <c r="B4" s="7">
        <v>39840</v>
      </c>
      <c r="C4" s="8">
        <v>1</v>
      </c>
      <c r="D4" s="7">
        <v>40268</v>
      </c>
      <c r="E4" s="8" t="s">
        <v>663</v>
      </c>
      <c r="F4" s="8" t="s">
        <v>663</v>
      </c>
      <c r="G4" s="8"/>
      <c r="H4" s="8"/>
      <c r="I4" s="8"/>
      <c r="J4" s="8"/>
      <c r="K4" s="8"/>
      <c r="L4" s="8"/>
      <c r="M4" s="8"/>
      <c r="N4" s="9" t="str">
        <f>HYPERLINK("mailto:smoris@kda.state.ks.us","Steve Moris")</f>
        <v>Steve Moris</v>
      </c>
      <c r="O4" s="10" t="str">
        <f>HYPERLINK("mailto:Cynthia.Kunkel@fda.hhs.gov","Cynthia Kunkel")</f>
        <v>Cynthia Kunkel</v>
      </c>
    </row>
    <row r="5" spans="1:15" ht="30" x14ac:dyDescent="0.25">
      <c r="A5" s="27" t="s">
        <v>662</v>
      </c>
      <c r="B5" s="17">
        <v>39840</v>
      </c>
      <c r="C5" s="18">
        <v>2</v>
      </c>
      <c r="D5" s="17">
        <v>42636</v>
      </c>
      <c r="E5" s="18" t="s">
        <v>664</v>
      </c>
      <c r="F5" s="18"/>
      <c r="G5" s="18"/>
      <c r="H5" s="18"/>
      <c r="I5" s="18"/>
      <c r="J5" s="18"/>
      <c r="K5" s="18" t="s">
        <v>664</v>
      </c>
      <c r="L5" s="18"/>
      <c r="M5" s="18"/>
      <c r="N5" s="19" t="str">
        <f>HYPERLINK("mailto:smoris@kda.state.ks.us","Steve Moris")</f>
        <v>Steve Moris</v>
      </c>
      <c r="O5" s="20" t="str">
        <f>HYPERLINK("mailto:Cynthia.Kunkel@fda.hhs.gov","Cynthia Kunkel")</f>
        <v>Cynthia Kunkel</v>
      </c>
    </row>
  </sheetData>
  <pageMargins left="0.15" right="0.15" top="0.25" bottom="0.25" header="0.05" footer="0.05"/>
  <pageSetup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57301-2DEA-45EC-BAD1-7BF42C1B400B}">
  <sheetPr>
    <pageSetUpPr fitToPage="1"/>
  </sheetPr>
  <dimension ref="A1:O9"/>
  <sheetViews>
    <sheetView workbookViewId="0"/>
  </sheetViews>
  <sheetFormatPr defaultRowHeight="15" x14ac:dyDescent="0.25"/>
  <cols>
    <col min="1" max="1" width="33.7109375" customWidth="1"/>
    <col min="2" max="2" width="14.85546875" customWidth="1"/>
    <col min="3" max="3" width="18.42578125" customWidth="1"/>
    <col min="4" max="4" width="22" customWidth="1"/>
    <col min="5" max="13" width="17.28515625" customWidth="1"/>
    <col min="14" max="14" width="14.85546875" customWidth="1"/>
    <col min="15" max="15" width="13.140625" customWidth="1"/>
  </cols>
  <sheetData>
    <row r="1" spans="1:15" x14ac:dyDescent="0.25">
      <c r="A1" t="s">
        <v>35</v>
      </c>
      <c r="B1" s="2" t="str">
        <f>HYPERLINK("#Introduction!A1","Back to Introduction Page")</f>
        <v>Back to Introduction Page</v>
      </c>
    </row>
    <row r="2" spans="1:15" x14ac:dyDescent="0.25">
      <c r="A2" s="21" t="s">
        <v>36</v>
      </c>
    </row>
    <row r="3" spans="1:15" ht="45" x14ac:dyDescent="0.25">
      <c r="A3" s="4" t="s">
        <v>15</v>
      </c>
      <c r="B3" s="3" t="s">
        <v>16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21</v>
      </c>
      <c r="H3" s="3" t="s">
        <v>22</v>
      </c>
      <c r="I3" s="3" t="s">
        <v>23</v>
      </c>
      <c r="J3" s="3" t="s">
        <v>24</v>
      </c>
      <c r="K3" s="3" t="s">
        <v>25</v>
      </c>
      <c r="L3" s="3" t="s">
        <v>26</v>
      </c>
      <c r="M3" s="3" t="s">
        <v>27</v>
      </c>
      <c r="N3" s="3" t="s">
        <v>28</v>
      </c>
      <c r="O3" s="5" t="s">
        <v>29</v>
      </c>
    </row>
    <row r="4" spans="1:15" ht="45" x14ac:dyDescent="0.25">
      <c r="A4" s="6" t="str">
        <f>HYPERLINK("http://www.adph.org/","Alabama Department of Public Health - Central Office")</f>
        <v>Alabama Department of Public Health - Central Office</v>
      </c>
      <c r="B4" s="7">
        <v>37749</v>
      </c>
      <c r="C4" s="8">
        <v>1</v>
      </c>
      <c r="D4" s="7">
        <v>38163</v>
      </c>
      <c r="E4" s="8"/>
      <c r="F4" s="8"/>
      <c r="G4" s="8"/>
      <c r="H4" s="8"/>
      <c r="I4" s="8"/>
      <c r="J4" s="8"/>
      <c r="K4" s="8"/>
      <c r="L4" s="8"/>
      <c r="M4" s="8"/>
      <c r="N4" s="9" t="str">
        <f>HYPERLINK("mailto:Phyllis.Fenn@adph.state.al.us","Phyllis Fenn")</f>
        <v>Phyllis Fenn</v>
      </c>
      <c r="O4" s="10" t="str">
        <f>HYPERLINK("mailto:Cameron.Wiggins@fda.hhs.gov","Cameron Wiggins")</f>
        <v>Cameron Wiggins</v>
      </c>
    </row>
    <row r="5" spans="1:15" ht="45" x14ac:dyDescent="0.25">
      <c r="A5" s="6" t="str">
        <f>HYPERLINK("http://www.adph.org/","Alabama Department of Public Health - Central Office")</f>
        <v>Alabama Department of Public Health - Central Office</v>
      </c>
      <c r="B5" s="7">
        <v>37749</v>
      </c>
      <c r="C5" s="8">
        <v>2</v>
      </c>
      <c r="D5" s="7">
        <v>41303</v>
      </c>
      <c r="E5" s="8"/>
      <c r="F5" s="8"/>
      <c r="G5" s="8"/>
      <c r="H5" s="8"/>
      <c r="I5" s="8"/>
      <c r="J5" s="8"/>
      <c r="K5" s="8"/>
      <c r="L5" s="8"/>
      <c r="M5" s="8"/>
      <c r="N5" s="9" t="str">
        <f>HYPERLINK("mailto:Phyllis.Fenn@adph.state.al.us","Phyllis Fenn")</f>
        <v>Phyllis Fenn</v>
      </c>
      <c r="O5" s="10" t="str">
        <f>HYPERLINK("mailto:Cameron.Wiggins@fda.hhs.gov","Cameron Wiggins")</f>
        <v>Cameron Wiggins</v>
      </c>
    </row>
    <row r="6" spans="1:15" ht="30" x14ac:dyDescent="0.25">
      <c r="A6" s="11" t="str">
        <f>HYPERLINK("http://www.jeffcohealth.org/","Jefferson County Department of Public Health")</f>
        <v>Jefferson County Department of Public Health</v>
      </c>
      <c r="B6" s="12">
        <v>38561</v>
      </c>
      <c r="C6" s="13">
        <v>1</v>
      </c>
      <c r="D6" s="12">
        <v>38922</v>
      </c>
      <c r="E6" s="13" t="s">
        <v>30</v>
      </c>
      <c r="F6" s="13"/>
      <c r="G6" s="13"/>
      <c r="H6" s="13"/>
      <c r="I6" s="13"/>
      <c r="J6" s="13"/>
      <c r="K6" s="13"/>
      <c r="L6" s="13"/>
      <c r="M6" s="13"/>
      <c r="N6" s="14" t="str">
        <f>HYPERLINK("mailto:Rene.Sinsky@jcdh.org","Rene Sinsky")</f>
        <v>Rene Sinsky</v>
      </c>
      <c r="O6" s="15" t="str">
        <f>HYPERLINK("mailto:Cameron.Wiggins@fda.hhs.gov","Cameron Wiggins")</f>
        <v>Cameron Wiggins</v>
      </c>
    </row>
    <row r="7" spans="1:15" ht="30" x14ac:dyDescent="0.25">
      <c r="A7" s="11" t="str">
        <f>HYPERLINK("http://www.jeffcohealth.org/","Jefferson County Department of Public Health")</f>
        <v>Jefferson County Department of Public Health</v>
      </c>
      <c r="B7" s="12">
        <v>38561</v>
      </c>
      <c r="C7" s="13">
        <v>2</v>
      </c>
      <c r="D7" s="12">
        <v>39868</v>
      </c>
      <c r="E7" s="13"/>
      <c r="F7" s="13" t="s">
        <v>31</v>
      </c>
      <c r="G7" s="13"/>
      <c r="H7" s="13"/>
      <c r="I7" s="13"/>
      <c r="J7" s="13"/>
      <c r="K7" s="13"/>
      <c r="L7" s="13"/>
      <c r="M7" s="13" t="s">
        <v>31</v>
      </c>
      <c r="N7" s="14" t="str">
        <f>HYPERLINK("mailto:Rene.Sinsky@jcdh.org","Rene Sinsky")</f>
        <v>Rene Sinsky</v>
      </c>
      <c r="O7" s="15" t="str">
        <f>HYPERLINK("mailto:Cameron.Wiggins@fda.hhs.gov","Cameron Wiggins")</f>
        <v>Cameron Wiggins</v>
      </c>
    </row>
    <row r="8" spans="1:15" ht="30" x14ac:dyDescent="0.25">
      <c r="A8" s="11" t="str">
        <f>HYPERLINK("http://www.jeffcohealth.org/","Jefferson County Department of Public Health")</f>
        <v>Jefferson County Department of Public Health</v>
      </c>
      <c r="B8" s="12">
        <v>38561</v>
      </c>
      <c r="C8" s="13">
        <v>3</v>
      </c>
      <c r="D8" s="12">
        <v>42645</v>
      </c>
      <c r="E8" s="13" t="s">
        <v>32</v>
      </c>
      <c r="F8" s="13" t="s">
        <v>33</v>
      </c>
      <c r="G8" s="13"/>
      <c r="H8" s="13"/>
      <c r="I8" s="13"/>
      <c r="J8" s="13"/>
      <c r="K8" s="13"/>
      <c r="L8" s="13"/>
      <c r="M8" s="13"/>
      <c r="N8" s="14" t="str">
        <f>HYPERLINK("mailto:Rene.Sinsky@jcdh.org","Rene Sinsky")</f>
        <v>Rene Sinsky</v>
      </c>
      <c r="O8" s="15" t="str">
        <f>HYPERLINK("mailto:Cameron.Wiggins@fda.hhs.gov","Cameron Wiggins")</f>
        <v>Cameron Wiggins</v>
      </c>
    </row>
    <row r="9" spans="1:15" ht="30" x14ac:dyDescent="0.25">
      <c r="A9" s="16" t="str">
        <f>HYPERLINK("http://www.mchd.org","Mobile County Health Department")</f>
        <v>Mobile County Health Department</v>
      </c>
      <c r="B9" s="17">
        <v>42657</v>
      </c>
      <c r="C9" s="18">
        <v>1</v>
      </c>
      <c r="D9" s="17">
        <v>43003</v>
      </c>
      <c r="E9" s="18" t="s">
        <v>34</v>
      </c>
      <c r="F9" s="18"/>
      <c r="G9" s="18"/>
      <c r="H9" s="18"/>
      <c r="I9" s="18"/>
      <c r="J9" s="18"/>
      <c r="K9" s="18"/>
      <c r="L9" s="18"/>
      <c r="M9" s="18"/>
      <c r="N9" s="19" t="str">
        <f>HYPERLINK("mailto:swcrawford@mchd.org","Dr. Stephanie Woods-Crawford")</f>
        <v>Dr. Stephanie Woods-Crawford</v>
      </c>
      <c r="O9" s="20" t="str">
        <f>HYPERLINK("mailto:Cameron.Wiggins@fda.hhs.gov","Cameron Wiggins")</f>
        <v>Cameron Wiggins</v>
      </c>
    </row>
  </sheetData>
  <pageMargins left="0.15" right="0.15" top="0.25" bottom="0.25" header="0.05" footer="0.05"/>
  <pageSetup orientation="landscape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CFD0A-97CF-4078-8A70-568FB765174C}">
  <sheetPr>
    <pageSetUpPr fitToPage="1"/>
  </sheetPr>
  <dimension ref="A1:O10"/>
  <sheetViews>
    <sheetView workbookViewId="0"/>
  </sheetViews>
  <sheetFormatPr defaultRowHeight="15" x14ac:dyDescent="0.25"/>
  <cols>
    <col min="1" max="1" width="33.7109375" customWidth="1"/>
    <col min="2" max="2" width="14.85546875" customWidth="1"/>
    <col min="3" max="3" width="18.42578125" customWidth="1"/>
    <col min="4" max="4" width="22" customWidth="1"/>
    <col min="5" max="13" width="17.28515625" customWidth="1"/>
    <col min="14" max="14" width="14.85546875" customWidth="1"/>
    <col min="15" max="15" width="13.140625" customWidth="1"/>
  </cols>
  <sheetData>
    <row r="1" spans="1:15" x14ac:dyDescent="0.25">
      <c r="A1" t="s">
        <v>675</v>
      </c>
      <c r="B1" s="2" t="str">
        <f>HYPERLINK("#Introduction!A1","Back to Introduction Page")</f>
        <v>Back to Introduction Page</v>
      </c>
    </row>
    <row r="2" spans="1:15" x14ac:dyDescent="0.25">
      <c r="A2" s="21" t="s">
        <v>676</v>
      </c>
    </row>
    <row r="3" spans="1:15" ht="45" x14ac:dyDescent="0.25">
      <c r="A3" s="4" t="s">
        <v>15</v>
      </c>
      <c r="B3" s="3" t="s">
        <v>16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21</v>
      </c>
      <c r="H3" s="3" t="s">
        <v>22</v>
      </c>
      <c r="I3" s="3" t="s">
        <v>23</v>
      </c>
      <c r="J3" s="3" t="s">
        <v>24</v>
      </c>
      <c r="K3" s="3" t="s">
        <v>25</v>
      </c>
      <c r="L3" s="3" t="s">
        <v>26</v>
      </c>
      <c r="M3" s="3" t="s">
        <v>27</v>
      </c>
      <c r="N3" s="3" t="s">
        <v>28</v>
      </c>
      <c r="O3" s="5" t="s">
        <v>29</v>
      </c>
    </row>
    <row r="4" spans="1:15" ht="30" x14ac:dyDescent="0.25">
      <c r="A4" s="28" t="s">
        <v>667</v>
      </c>
      <c r="B4" s="7">
        <v>42285</v>
      </c>
      <c r="C4" s="8">
        <v>1</v>
      </c>
      <c r="D4" s="7">
        <v>42510</v>
      </c>
      <c r="E4" s="8"/>
      <c r="F4" s="8"/>
      <c r="G4" s="8"/>
      <c r="H4" s="8"/>
      <c r="I4" s="8"/>
      <c r="J4" s="8"/>
      <c r="K4" s="8"/>
      <c r="L4" s="8"/>
      <c r="M4" s="8"/>
      <c r="N4" s="9" t="str">
        <f>HYPERLINK("mailto:clayton.horton@grdhd.org","Clayton Horton")</f>
        <v>Clayton Horton</v>
      </c>
      <c r="O4" s="10" t="str">
        <f>HYPERLINK("mailto:Kris.Moore@fda.hhs.gov","Kris Moore")</f>
        <v>Kris Moore</v>
      </c>
    </row>
    <row r="5" spans="1:15" ht="30" x14ac:dyDescent="0.25">
      <c r="A5" s="29" t="s">
        <v>668</v>
      </c>
      <c r="B5" s="12">
        <v>43375</v>
      </c>
      <c r="C5" s="13">
        <v>1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4" t="str">
        <f>HYPERLINK("mailto:kevenh.nichols@ky.gov","Keven Nichols")</f>
        <v>Keven Nichols</v>
      </c>
      <c r="O5" s="15" t="str">
        <f>HYPERLINK("mailto:Kris.Moore@fda.hhs.gov","Kris Moore")</f>
        <v>Kris Moore</v>
      </c>
    </row>
    <row r="6" spans="1:15" ht="45" x14ac:dyDescent="0.25">
      <c r="A6" s="6" t="str">
        <f>HYPERLINK("http://chfs.ky.gov/dph/info/phps/food.htm","KY Cabinet for Health and Family Services - Food Safety Branch")</f>
        <v>KY Cabinet for Health and Family Services - Food Safety Branch</v>
      </c>
      <c r="B6" s="7">
        <v>41912</v>
      </c>
      <c r="C6" s="8">
        <v>1</v>
      </c>
      <c r="D6" s="7">
        <v>42277</v>
      </c>
      <c r="E6" s="8"/>
      <c r="F6" s="8"/>
      <c r="G6" s="8"/>
      <c r="H6" s="8"/>
      <c r="I6" s="8"/>
      <c r="J6" s="8"/>
      <c r="K6" s="8"/>
      <c r="L6" s="8"/>
      <c r="M6" s="8"/>
      <c r="N6" s="9" t="str">
        <f>HYPERLINK("mailto:pamelam.hendren@ky.gov","Pamelam Hendren")</f>
        <v>Pamelam Hendren</v>
      </c>
      <c r="O6" s="10" t="str">
        <f>HYPERLINK("mailto:Kris.Moore@fda.hhs.gov","Kris Moore")</f>
        <v>Kris Moore</v>
      </c>
    </row>
    <row r="7" spans="1:15" ht="30" x14ac:dyDescent="0.25">
      <c r="A7" s="29" t="s">
        <v>669</v>
      </c>
      <c r="B7" s="12">
        <v>42998</v>
      </c>
      <c r="C7" s="13">
        <v>1</v>
      </c>
      <c r="D7" s="12">
        <v>43181</v>
      </c>
      <c r="E7" s="13"/>
      <c r="F7" s="13"/>
      <c r="G7" s="13"/>
      <c r="H7" s="13"/>
      <c r="I7" s="13"/>
      <c r="J7" s="13"/>
      <c r="K7" s="13"/>
      <c r="L7" s="13"/>
      <c r="M7" s="13"/>
      <c r="N7" s="14" t="str">
        <f>HYPERLINK("mailto:stuart.spillman@lchd.org","Stuart Spillman")</f>
        <v>Stuart Spillman</v>
      </c>
      <c r="O7" s="15" t="str">
        <f>HYPERLINK("mailto:Kris.Moore@fda.hhs.gov","Kris Moore")</f>
        <v>Kris Moore</v>
      </c>
    </row>
    <row r="8" spans="1:15" ht="45" x14ac:dyDescent="0.25">
      <c r="A8" s="28" t="s">
        <v>670</v>
      </c>
      <c r="B8" s="7">
        <v>41177</v>
      </c>
      <c r="C8" s="8">
        <v>1</v>
      </c>
      <c r="D8" s="7">
        <v>41454</v>
      </c>
      <c r="E8" s="8"/>
      <c r="F8" s="8"/>
      <c r="G8" s="8"/>
      <c r="H8" s="8"/>
      <c r="I8" s="8" t="s">
        <v>671</v>
      </c>
      <c r="J8" s="8"/>
      <c r="K8" s="8"/>
      <c r="L8" s="8"/>
      <c r="M8" s="8"/>
      <c r="N8" s="9" t="str">
        <f>HYPERLINK("mailto:Kelly.Monahan@louisvilleky.gov","Kelly Monahan")</f>
        <v>Kelly Monahan</v>
      </c>
      <c r="O8" s="10" t="str">
        <f>HYPERLINK("mailto:Kris.Moore@fda.hhs.gov","Kris Moore")</f>
        <v>Kris Moore</v>
      </c>
    </row>
    <row r="9" spans="1:15" ht="30" x14ac:dyDescent="0.25">
      <c r="A9" s="29" t="s">
        <v>672</v>
      </c>
      <c r="B9" s="12">
        <v>41859</v>
      </c>
      <c r="C9" s="13">
        <v>1</v>
      </c>
      <c r="D9" s="12">
        <v>42205</v>
      </c>
      <c r="E9" s="13"/>
      <c r="F9" s="13"/>
      <c r="G9" s="13"/>
      <c r="H9" s="13"/>
      <c r="I9" s="13"/>
      <c r="J9" s="13"/>
      <c r="K9" s="13" t="s">
        <v>673</v>
      </c>
      <c r="L9" s="13"/>
      <c r="M9" s="13"/>
      <c r="N9" s="14" t="str">
        <f>HYPERLINK("mailto:Ted.Tallley@nkyhealth.org","Ted Talley")</f>
        <v>Ted Talley</v>
      </c>
      <c r="O9" s="15" t="str">
        <f>HYPERLINK("mailto:Kris.Moore@fda.hhs.gov","Kris Moore")</f>
        <v>Kris Moore</v>
      </c>
    </row>
    <row r="10" spans="1:15" ht="30" x14ac:dyDescent="0.25">
      <c r="A10" s="27" t="s">
        <v>674</v>
      </c>
      <c r="B10" s="17">
        <v>43392</v>
      </c>
      <c r="C10" s="18">
        <v>1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9" t="str">
        <f>HYPERLINK("mailto:nita.e.hackwell.civ@mail.mil","Nita Hackwell")</f>
        <v>Nita Hackwell</v>
      </c>
      <c r="O10" s="20" t="str">
        <f>HYPERLINK("mailto:Kris.Moore@fda.hhs.gov","Kris Moore")</f>
        <v>Kris Moore</v>
      </c>
    </row>
  </sheetData>
  <pageMargins left="0.15" right="0.15" top="0.25" bottom="0.25" header="0.05" footer="0.05"/>
  <pageSetup orientation="landscape" r:id="rId1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2E3B1-2E35-433A-901D-D42F3830BB93}">
  <sheetPr>
    <pageSetUpPr fitToPage="1"/>
  </sheetPr>
  <dimension ref="A1:O4"/>
  <sheetViews>
    <sheetView workbookViewId="0"/>
  </sheetViews>
  <sheetFormatPr defaultRowHeight="15" x14ac:dyDescent="0.25"/>
  <cols>
    <col min="1" max="1" width="33.7109375" customWidth="1"/>
    <col min="2" max="2" width="14.85546875" customWidth="1"/>
    <col min="3" max="3" width="18.42578125" customWidth="1"/>
    <col min="4" max="4" width="22" customWidth="1"/>
    <col min="5" max="13" width="17.28515625" customWidth="1"/>
    <col min="14" max="14" width="14.85546875" customWidth="1"/>
    <col min="15" max="15" width="13.140625" customWidth="1"/>
  </cols>
  <sheetData>
    <row r="1" spans="1:15" x14ac:dyDescent="0.25">
      <c r="A1" t="s">
        <v>677</v>
      </c>
      <c r="B1" s="2" t="str">
        <f>HYPERLINK("#Introduction!A1","Back to Introduction Page")</f>
        <v>Back to Introduction Page</v>
      </c>
    </row>
    <row r="2" spans="1:15" x14ac:dyDescent="0.25">
      <c r="A2" s="21" t="s">
        <v>678</v>
      </c>
    </row>
    <row r="3" spans="1:15" ht="45" x14ac:dyDescent="0.25">
      <c r="A3" s="4" t="s">
        <v>15</v>
      </c>
      <c r="B3" s="3" t="s">
        <v>16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21</v>
      </c>
      <c r="H3" s="3" t="s">
        <v>22</v>
      </c>
      <c r="I3" s="3" t="s">
        <v>23</v>
      </c>
      <c r="J3" s="3" t="s">
        <v>24</v>
      </c>
      <c r="K3" s="3" t="s">
        <v>25</v>
      </c>
      <c r="L3" s="3" t="s">
        <v>26</v>
      </c>
      <c r="M3" s="3" t="s">
        <v>27</v>
      </c>
      <c r="N3" s="3" t="s">
        <v>28</v>
      </c>
      <c r="O3" s="5" t="s">
        <v>29</v>
      </c>
    </row>
    <row r="4" spans="1:15" ht="30" x14ac:dyDescent="0.25">
      <c r="A4" s="16" t="str">
        <f>HYPERLINK("http://www.dhh.louisiana.gov/index.cfm/subhome/19/n/292","Louisiana Department of Health and Hospitals")</f>
        <v>Louisiana Department of Health and Hospitals</v>
      </c>
      <c r="B4" s="17">
        <v>40289</v>
      </c>
      <c r="C4" s="18">
        <v>1</v>
      </c>
      <c r="D4" s="18"/>
      <c r="E4" s="18"/>
      <c r="F4" s="18"/>
      <c r="G4" s="18"/>
      <c r="H4" s="18"/>
      <c r="I4" s="18"/>
      <c r="J4" s="18"/>
      <c r="K4" s="18"/>
      <c r="L4" s="18"/>
      <c r="M4" s="18"/>
      <c r="N4" s="19" t="str">
        <f>HYPERLINK("mailto:albert.mancuso@la.gov","Albert Mancuso")</f>
        <v>Albert Mancuso</v>
      </c>
      <c r="O4" s="20" t="str">
        <f>HYPERLINK("mailto:Cameron.Wiggins@fda.hhs.gov","Cameron Wiggins")</f>
        <v>Cameron Wiggins</v>
      </c>
    </row>
  </sheetData>
  <pageMargins left="0.15" right="0.15" top="0.25" bottom="0.25" header="0.05" footer="0.05"/>
  <pageSetup orientation="landscape" r:id="rId1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C38C8-BCFD-435B-86D4-FE94F635AB57}">
  <sheetPr>
    <pageSetUpPr fitToPage="1"/>
  </sheetPr>
  <dimension ref="A1:O5"/>
  <sheetViews>
    <sheetView workbookViewId="0"/>
  </sheetViews>
  <sheetFormatPr defaultRowHeight="15" x14ac:dyDescent="0.25"/>
  <cols>
    <col min="1" max="1" width="33.7109375" customWidth="1"/>
    <col min="2" max="2" width="14.85546875" customWidth="1"/>
    <col min="3" max="3" width="18.42578125" customWidth="1"/>
    <col min="4" max="4" width="22" customWidth="1"/>
    <col min="5" max="13" width="17.28515625" customWidth="1"/>
    <col min="14" max="14" width="14.85546875" customWidth="1"/>
    <col min="15" max="15" width="13.140625" customWidth="1"/>
  </cols>
  <sheetData>
    <row r="1" spans="1:15" x14ac:dyDescent="0.25">
      <c r="A1" t="s">
        <v>681</v>
      </c>
      <c r="B1" s="2" t="str">
        <f>HYPERLINK("#Introduction!A1","Back to Introduction Page")</f>
        <v>Back to Introduction Page</v>
      </c>
    </row>
    <row r="2" spans="1:15" x14ac:dyDescent="0.25">
      <c r="A2" s="21" t="s">
        <v>682</v>
      </c>
    </row>
    <row r="3" spans="1:15" ht="45" x14ac:dyDescent="0.25">
      <c r="A3" s="4" t="s">
        <v>15</v>
      </c>
      <c r="B3" s="3" t="s">
        <v>16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21</v>
      </c>
      <c r="H3" s="3" t="s">
        <v>22</v>
      </c>
      <c r="I3" s="3" t="s">
        <v>23</v>
      </c>
      <c r="J3" s="3" t="s">
        <v>24</v>
      </c>
      <c r="K3" s="3" t="s">
        <v>25</v>
      </c>
      <c r="L3" s="3" t="s">
        <v>26</v>
      </c>
      <c r="M3" s="3" t="s">
        <v>27</v>
      </c>
      <c r="N3" s="3" t="s">
        <v>28</v>
      </c>
      <c r="O3" s="5" t="s">
        <v>29</v>
      </c>
    </row>
    <row r="4" spans="1:15" ht="30" x14ac:dyDescent="0.25">
      <c r="A4" s="6" t="str">
        <f>HYPERLINK("http://www.portlandmaine.gov/","City of Portland")</f>
        <v>City of Portland</v>
      </c>
      <c r="B4" s="7">
        <v>41558</v>
      </c>
      <c r="C4" s="8">
        <v>1</v>
      </c>
      <c r="D4" s="7">
        <v>41695</v>
      </c>
      <c r="E4" s="8" t="s">
        <v>679</v>
      </c>
      <c r="F4" s="8" t="s">
        <v>679</v>
      </c>
      <c r="G4" s="8"/>
      <c r="H4" s="8"/>
      <c r="I4" s="8" t="s">
        <v>679</v>
      </c>
      <c r="J4" s="8"/>
      <c r="K4" s="8"/>
      <c r="L4" s="8" t="s">
        <v>679</v>
      </c>
      <c r="M4" s="8"/>
      <c r="N4" s="9" t="str">
        <f>HYPERLINK("mailto:tw@portlandmaine.gov","Tom Williams")</f>
        <v>Tom Williams</v>
      </c>
      <c r="O4" s="10" t="str">
        <f>HYPERLINK("mailto:Thomas.Nerney@fda.hhs.gov","Thomas Nerney")</f>
        <v>Thomas Nerney</v>
      </c>
    </row>
    <row r="5" spans="1:15" ht="30" x14ac:dyDescent="0.25">
      <c r="A5" s="22" t="str">
        <f>HYPERLINK("http://www.maine.gov/dhhs/mecdc/environmental-health/el/","Maine Department of Health and Human Services")</f>
        <v>Maine Department of Health and Human Services</v>
      </c>
      <c r="B5" s="23">
        <v>40126</v>
      </c>
      <c r="C5" s="24">
        <v>1</v>
      </c>
      <c r="D5" s="23">
        <v>40767</v>
      </c>
      <c r="E5" s="24"/>
      <c r="F5" s="24"/>
      <c r="G5" s="24"/>
      <c r="H5" s="24"/>
      <c r="I5" s="24"/>
      <c r="J5" s="24"/>
      <c r="K5" s="24" t="s">
        <v>680</v>
      </c>
      <c r="L5" s="24"/>
      <c r="M5" s="24"/>
      <c r="N5" s="25" t="str">
        <f>HYPERLINK("mailto:lisa.silva@maine.gov","Lisa Silva")</f>
        <v>Lisa Silva</v>
      </c>
      <c r="O5" s="26" t="str">
        <f>HYPERLINK("mailto:Thomas.Nerney@fda.hhs.gov","Thomas Nerney")</f>
        <v>Thomas Nerney</v>
      </c>
    </row>
  </sheetData>
  <pageMargins left="0.15" right="0.15" top="0.25" bottom="0.25" header="0.05" footer="0.05"/>
  <pageSetup orientation="landscape" r:id="rId1"/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40DD8-A622-4C15-9C31-4E6429BB7379}">
  <sheetPr>
    <pageSetUpPr fitToPage="1"/>
  </sheetPr>
  <dimension ref="A1:O13"/>
  <sheetViews>
    <sheetView workbookViewId="0"/>
  </sheetViews>
  <sheetFormatPr defaultRowHeight="15" x14ac:dyDescent="0.25"/>
  <cols>
    <col min="1" max="1" width="33.7109375" customWidth="1"/>
    <col min="2" max="2" width="14.85546875" customWidth="1"/>
    <col min="3" max="3" width="18.42578125" customWidth="1"/>
    <col min="4" max="4" width="22" customWidth="1"/>
    <col min="5" max="13" width="17.28515625" customWidth="1"/>
    <col min="14" max="14" width="14.85546875" customWidth="1"/>
    <col min="15" max="15" width="13.140625" customWidth="1"/>
  </cols>
  <sheetData>
    <row r="1" spans="1:15" x14ac:dyDescent="0.25">
      <c r="A1" t="s">
        <v>695</v>
      </c>
      <c r="B1" s="2" t="str">
        <f>HYPERLINK("#Introduction!A1","Back to Introduction Page")</f>
        <v>Back to Introduction Page</v>
      </c>
    </row>
    <row r="2" spans="1:15" x14ac:dyDescent="0.25">
      <c r="A2" s="21" t="s">
        <v>696</v>
      </c>
    </row>
    <row r="3" spans="1:15" ht="45" x14ac:dyDescent="0.25">
      <c r="A3" s="4" t="s">
        <v>15</v>
      </c>
      <c r="B3" s="3" t="s">
        <v>16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21</v>
      </c>
      <c r="H3" s="3" t="s">
        <v>22</v>
      </c>
      <c r="I3" s="3" t="s">
        <v>23</v>
      </c>
      <c r="J3" s="3" t="s">
        <v>24</v>
      </c>
      <c r="K3" s="3" t="s">
        <v>25</v>
      </c>
      <c r="L3" s="3" t="s">
        <v>26</v>
      </c>
      <c r="M3" s="3" t="s">
        <v>27</v>
      </c>
      <c r="N3" s="3" t="s">
        <v>28</v>
      </c>
      <c r="O3" s="5" t="s">
        <v>29</v>
      </c>
    </row>
    <row r="4" spans="1:15" ht="30" x14ac:dyDescent="0.25">
      <c r="A4" s="6" t="str">
        <f>HYPERLINK("http://health.baltimorecity.gov/","Baltimore City Health Department")</f>
        <v>Baltimore City Health Department</v>
      </c>
      <c r="B4" s="7">
        <v>41890</v>
      </c>
      <c r="C4" s="8">
        <v>1</v>
      </c>
      <c r="D4" s="7">
        <v>42164</v>
      </c>
      <c r="E4" s="8"/>
      <c r="F4" s="8"/>
      <c r="G4" s="8"/>
      <c r="H4" s="8"/>
      <c r="I4" s="8"/>
      <c r="J4" s="8"/>
      <c r="K4" s="8"/>
      <c r="L4" s="8"/>
      <c r="M4" s="8"/>
      <c r="N4" s="9" t="str">
        <f>HYPERLINK("mailto:jessica.speaker@baltimorecity.gov","Jessica Speaker")</f>
        <v>Jessica Speaker</v>
      </c>
      <c r="O4" s="10" t="str">
        <f>HYPERLINK("mailto:Kenya.Moon@fda.hhs.gov","Kenya Moon")</f>
        <v>Kenya Moon</v>
      </c>
    </row>
    <row r="5" spans="1:15" ht="30" x14ac:dyDescent="0.25">
      <c r="A5" s="11" t="str">
        <f>HYPERLINK("http://www.calverthealth.org/","Calvert County Health Department")</f>
        <v>Calvert County Health Department</v>
      </c>
      <c r="B5" s="12">
        <v>40227</v>
      </c>
      <c r="C5" s="13">
        <v>1</v>
      </c>
      <c r="D5" s="12">
        <v>41352</v>
      </c>
      <c r="E5" s="13"/>
      <c r="F5" s="13" t="s">
        <v>683</v>
      </c>
      <c r="G5" s="13"/>
      <c r="H5" s="13"/>
      <c r="I5" s="13"/>
      <c r="J5" s="13" t="s">
        <v>683</v>
      </c>
      <c r="K5" s="13" t="s">
        <v>683</v>
      </c>
      <c r="L5" s="13"/>
      <c r="M5" s="13"/>
      <c r="N5" s="13" t="s">
        <v>684</v>
      </c>
      <c r="O5" s="15" t="str">
        <f>HYPERLINK("mailto:Kenya.Moon@fda.hhs.gov","Kenya Moon")</f>
        <v>Kenya Moon</v>
      </c>
    </row>
    <row r="6" spans="1:15" ht="30" x14ac:dyDescent="0.25">
      <c r="A6" s="6" t="str">
        <f>HYPERLINK("http://www.carrollhealthdepartment..dhmh.md.gov/","Carroll County Health Department")</f>
        <v>Carroll County Health Department</v>
      </c>
      <c r="B6" s="7">
        <v>40724</v>
      </c>
      <c r="C6" s="8">
        <v>1</v>
      </c>
      <c r="D6" s="7">
        <v>41340</v>
      </c>
      <c r="E6" s="8"/>
      <c r="F6" s="8"/>
      <c r="G6" s="8" t="s">
        <v>685</v>
      </c>
      <c r="H6" s="8"/>
      <c r="I6" s="8"/>
      <c r="J6" s="8"/>
      <c r="K6" s="8"/>
      <c r="L6" s="8"/>
      <c r="M6" s="8"/>
      <c r="N6" s="9" t="str">
        <f>HYPERLINK("mailto:Cheryl.chaney@maryland.gov","Cheryl Chaney")</f>
        <v>Cheryl Chaney</v>
      </c>
      <c r="O6" s="10" t="str">
        <f>HYPERLINK("mailto:Kenya.Moon@fda.hhs.gov","Kenya Moon")</f>
        <v>Kenya Moon</v>
      </c>
    </row>
    <row r="7" spans="1:15" ht="30" x14ac:dyDescent="0.25">
      <c r="A7" s="11" t="str">
        <f>HYPERLINK("http://www.health.frederickcountymd.gov/","Frederick County Health Department")</f>
        <v>Frederick County Health Department</v>
      </c>
      <c r="B7" s="12">
        <v>41340</v>
      </c>
      <c r="C7" s="13">
        <v>1</v>
      </c>
      <c r="D7" s="12">
        <v>41743</v>
      </c>
      <c r="E7" s="13"/>
      <c r="F7" s="13" t="s">
        <v>686</v>
      </c>
      <c r="G7" s="13"/>
      <c r="H7" s="13"/>
      <c r="I7" s="13"/>
      <c r="J7" s="13"/>
      <c r="K7" s="13"/>
      <c r="L7" s="13"/>
      <c r="M7" s="13"/>
      <c r="N7" s="14" t="str">
        <f>HYPERLINK("mailto:WCochran@FrederickCountyMD.gov","Wendy Cochran")</f>
        <v>Wendy Cochran</v>
      </c>
      <c r="O7" s="15" t="str">
        <f>HYPERLINK("mailto:Kenya.Moon@fda.hhs.gov","Kenya Moon")</f>
        <v>Kenya Moon</v>
      </c>
    </row>
    <row r="8" spans="1:15" ht="30" x14ac:dyDescent="0.25">
      <c r="A8" s="6" t="str">
        <f>HYPERLINK("http://www.harfordcountyhealth.com/","Harford County Health Department")</f>
        <v>Harford County Health Department</v>
      </c>
      <c r="B8" s="7">
        <v>41037</v>
      </c>
      <c r="C8" s="8">
        <v>1</v>
      </c>
      <c r="D8" s="7">
        <v>41379</v>
      </c>
      <c r="E8" s="8"/>
      <c r="F8" s="8"/>
      <c r="G8" s="8"/>
      <c r="H8" s="8"/>
      <c r="I8" s="8"/>
      <c r="J8" s="8"/>
      <c r="K8" s="8"/>
      <c r="L8" s="8"/>
      <c r="M8" s="8"/>
      <c r="N8" s="9" t="str">
        <f>HYPERLINK("mailto:kbarnaba@dhmh.state.md.us","Kevin Barnaba")</f>
        <v>Kevin Barnaba</v>
      </c>
      <c r="O8" s="10" t="str">
        <f>HYPERLINK("mailto:Kenya.Moon@fda.hhs.gov","Kenya Moon")</f>
        <v>Kenya Moon</v>
      </c>
    </row>
    <row r="9" spans="1:15" ht="30" x14ac:dyDescent="0.25">
      <c r="A9" s="11" t="str">
        <f>HYPERLINK("http://www.dhmh.state.md.us/","Maryland Department of Health and Mental Hygiene")</f>
        <v>Maryland Department of Health and Mental Hygiene</v>
      </c>
      <c r="B9" s="12">
        <v>37502</v>
      </c>
      <c r="C9" s="13">
        <v>1</v>
      </c>
      <c r="D9" s="12">
        <v>41408</v>
      </c>
      <c r="E9" s="13"/>
      <c r="F9" s="13" t="s">
        <v>687</v>
      </c>
      <c r="G9" s="13"/>
      <c r="H9" s="13"/>
      <c r="I9" s="13"/>
      <c r="J9" s="13"/>
      <c r="K9" s="13"/>
      <c r="L9" s="13"/>
      <c r="M9" s="13"/>
      <c r="N9" s="13" t="s">
        <v>688</v>
      </c>
      <c r="O9" s="15" t="str">
        <f>HYPERLINK("mailto:Kenya.Moon@fda.hhs.gov","Kenya Moon")</f>
        <v>Kenya Moon</v>
      </c>
    </row>
    <row r="10" spans="1:15" ht="30" x14ac:dyDescent="0.25">
      <c r="A10" s="28" t="s">
        <v>689</v>
      </c>
      <c r="B10" s="7">
        <v>41905</v>
      </c>
      <c r="C10" s="8">
        <v>1</v>
      </c>
      <c r="D10" s="7">
        <v>42293</v>
      </c>
      <c r="E10" s="8"/>
      <c r="F10" s="8"/>
      <c r="G10" s="8"/>
      <c r="H10" s="8"/>
      <c r="I10" s="8"/>
      <c r="J10" s="8"/>
      <c r="K10" s="8" t="s">
        <v>690</v>
      </c>
      <c r="L10" s="8"/>
      <c r="M10" s="8"/>
      <c r="N10" s="9" t="str">
        <f>HYPERLINK("mailto:Clark.Beil@montgomeryco.md.gov","Clark Beil")</f>
        <v>Clark Beil</v>
      </c>
      <c r="O10" s="10" t="str">
        <f>HYPERLINK("mailto:Kenya.Moon@fda.hhs.gov","Kenya Moon")</f>
        <v>Kenya Moon</v>
      </c>
    </row>
    <row r="11" spans="1:15" ht="30" x14ac:dyDescent="0.25">
      <c r="A11" s="11" t="str">
        <f>HYPERLINK("http://www.princegeorgescounty.md.gov/","Prince George's County Health Department")</f>
        <v>Prince George's County Health Department</v>
      </c>
      <c r="B11" s="12">
        <v>40641</v>
      </c>
      <c r="C11" s="13">
        <v>1</v>
      </c>
      <c r="D11" s="12">
        <v>41232</v>
      </c>
      <c r="E11" s="13"/>
      <c r="F11" s="13"/>
      <c r="G11" s="13"/>
      <c r="H11" s="13"/>
      <c r="I11" s="13"/>
      <c r="J11" s="13"/>
      <c r="K11" s="13"/>
      <c r="L11" s="13" t="s">
        <v>691</v>
      </c>
      <c r="M11" s="13"/>
      <c r="N11" s="14" t="str">
        <f>HYPERLINK("mailto:swtheatt@co.pg.md.us","Susan Thweat")</f>
        <v>Susan Thweat</v>
      </c>
      <c r="O11" s="15" t="str">
        <f>HYPERLINK("mailto:Kenya.Moon@fda.hhs.gov","Kenya Moon")</f>
        <v>Kenya Moon</v>
      </c>
    </row>
    <row r="12" spans="1:15" ht="30" x14ac:dyDescent="0.25">
      <c r="A12" s="6" t="str">
        <f>HYPERLINK("http://www.wicomicohealth.org/index.aspx?pageld=1","Wicomico County Health Department")</f>
        <v>Wicomico County Health Department</v>
      </c>
      <c r="B12" s="7">
        <v>41037</v>
      </c>
      <c r="C12" s="8">
        <v>1</v>
      </c>
      <c r="D12" s="7">
        <v>41361</v>
      </c>
      <c r="E12" s="8"/>
      <c r="F12" s="8" t="s">
        <v>692</v>
      </c>
      <c r="G12" s="8"/>
      <c r="H12" s="8" t="s">
        <v>692</v>
      </c>
      <c r="I12" s="8"/>
      <c r="J12" s="8" t="s">
        <v>692</v>
      </c>
      <c r="K12" s="8" t="s">
        <v>692</v>
      </c>
      <c r="L12" s="8"/>
      <c r="M12" s="8" t="s">
        <v>692</v>
      </c>
      <c r="N12" s="9" t="str">
        <f>HYPERLINK("mailto:dennis.dicintio@maryland.gov","Dennis Dicintio")</f>
        <v>Dennis Dicintio</v>
      </c>
      <c r="O12" s="10" t="str">
        <f>HYPERLINK("mailto:Kenya.Moon@fda.hhs.gov","Kenya Moon")</f>
        <v>Kenya Moon</v>
      </c>
    </row>
    <row r="13" spans="1:15" ht="30" x14ac:dyDescent="0.25">
      <c r="A13" s="16" t="str">
        <f>HYPERLINK("http://www.wicomicohealth.org/index.aspx?pageld=1","Wicomico County Health Department")</f>
        <v>Wicomico County Health Department</v>
      </c>
      <c r="B13" s="17">
        <v>41037</v>
      </c>
      <c r="C13" s="18">
        <v>2</v>
      </c>
      <c r="D13" s="17">
        <v>43069</v>
      </c>
      <c r="E13" s="18"/>
      <c r="F13" s="18" t="s">
        <v>693</v>
      </c>
      <c r="G13" s="18"/>
      <c r="H13" s="18" t="s">
        <v>693</v>
      </c>
      <c r="I13" s="18"/>
      <c r="J13" s="18" t="s">
        <v>694</v>
      </c>
      <c r="K13" s="18" t="s">
        <v>694</v>
      </c>
      <c r="L13" s="18" t="s">
        <v>694</v>
      </c>
      <c r="M13" s="18" t="s">
        <v>694</v>
      </c>
      <c r="N13" s="19" t="str">
        <f>HYPERLINK("mailto:allison.marine@maryland.gov","Allison Marine")</f>
        <v>Allison Marine</v>
      </c>
      <c r="O13" s="20" t="str">
        <f>HYPERLINK("mailto:Kenya.Moon@fda.hhs.gov","Kenya Moon")</f>
        <v>Kenya Moon</v>
      </c>
    </row>
  </sheetData>
  <pageMargins left="0.15" right="0.15" top="0.25" bottom="0.25" header="0.05" footer="0.05"/>
  <pageSetup orientation="landscape" r:id="rId1"/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65E76-3B76-460F-81E2-FC04F1CC4CCD}">
  <sheetPr>
    <pageSetUpPr fitToPage="1"/>
  </sheetPr>
  <dimension ref="A1:O107"/>
  <sheetViews>
    <sheetView workbookViewId="0"/>
  </sheetViews>
  <sheetFormatPr defaultRowHeight="15" x14ac:dyDescent="0.25"/>
  <cols>
    <col min="1" max="1" width="33.7109375" customWidth="1"/>
    <col min="2" max="2" width="14.85546875" customWidth="1"/>
    <col min="3" max="3" width="18.42578125" customWidth="1"/>
    <col min="4" max="4" width="22" customWidth="1"/>
    <col min="5" max="13" width="17.28515625" customWidth="1"/>
    <col min="14" max="14" width="14.85546875" customWidth="1"/>
    <col min="15" max="15" width="13.140625" customWidth="1"/>
  </cols>
  <sheetData>
    <row r="1" spans="1:15" x14ac:dyDescent="0.25">
      <c r="A1" t="s">
        <v>805</v>
      </c>
      <c r="B1" s="2" t="str">
        <f>HYPERLINK("#Introduction!A1","Back to Introduction Page")</f>
        <v>Back to Introduction Page</v>
      </c>
    </row>
    <row r="2" spans="1:15" x14ac:dyDescent="0.25">
      <c r="A2" s="21" t="s">
        <v>806</v>
      </c>
    </row>
    <row r="3" spans="1:15" ht="45" x14ac:dyDescent="0.25">
      <c r="A3" s="4" t="s">
        <v>15</v>
      </c>
      <c r="B3" s="3" t="s">
        <v>16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21</v>
      </c>
      <c r="H3" s="3" t="s">
        <v>22</v>
      </c>
      <c r="I3" s="3" t="s">
        <v>23</v>
      </c>
      <c r="J3" s="3" t="s">
        <v>24</v>
      </c>
      <c r="K3" s="3" t="s">
        <v>25</v>
      </c>
      <c r="L3" s="3" t="s">
        <v>26</v>
      </c>
      <c r="M3" s="3" t="s">
        <v>27</v>
      </c>
      <c r="N3" s="3" t="s">
        <v>28</v>
      </c>
      <c r="O3" s="5" t="s">
        <v>29</v>
      </c>
    </row>
    <row r="4" spans="1:15" ht="30" x14ac:dyDescent="0.25">
      <c r="A4" s="28" t="s">
        <v>697</v>
      </c>
      <c r="B4" s="7">
        <v>42445</v>
      </c>
      <c r="C4" s="8">
        <v>1</v>
      </c>
      <c r="D4" s="7">
        <v>42461</v>
      </c>
      <c r="E4" s="8"/>
      <c r="F4" s="8"/>
      <c r="G4" s="8"/>
      <c r="H4" s="8"/>
      <c r="I4" s="8"/>
      <c r="J4" s="8"/>
      <c r="K4" s="8" t="s">
        <v>698</v>
      </c>
      <c r="L4" s="8"/>
      <c r="M4" s="8"/>
      <c r="N4" s="8" t="s">
        <v>699</v>
      </c>
      <c r="O4" s="10" t="str">
        <f>HYPERLINK("mailto:Steven.Nattrass@fda.hhs.gov","Steven Nattrass")</f>
        <v>Steven Nattrass</v>
      </c>
    </row>
    <row r="5" spans="1:15" ht="30" x14ac:dyDescent="0.25">
      <c r="A5" s="11" t="str">
        <f>HYPERLINK("http://www.amherstma.gov/index.aspx?nid=65","Amherst Health Department")</f>
        <v>Amherst Health Department</v>
      </c>
      <c r="B5" s="12">
        <v>40787</v>
      </c>
      <c r="C5" s="13">
        <v>1</v>
      </c>
      <c r="D5" s="12">
        <v>40928</v>
      </c>
      <c r="E5" s="13" t="s">
        <v>700</v>
      </c>
      <c r="F5" s="13"/>
      <c r="G5" s="13"/>
      <c r="H5" s="13"/>
      <c r="I5" s="13"/>
      <c r="J5" s="13"/>
      <c r="K5" s="13" t="s">
        <v>700</v>
      </c>
      <c r="L5" s="13"/>
      <c r="M5" s="13"/>
      <c r="N5" s="14" t="str">
        <f>HYPERLINK("mailto:sullivane@amherstma.gov","Betsy Sullivan")</f>
        <v>Betsy Sullivan</v>
      </c>
      <c r="O5" s="15" t="str">
        <f>HYPERLINK("mailto:Steven.Nattrass@fda.hhs.gov","Steven Nattrass")</f>
        <v>Steven Nattrass</v>
      </c>
    </row>
    <row r="6" spans="1:15" ht="30" x14ac:dyDescent="0.25">
      <c r="A6" s="28" t="s">
        <v>701</v>
      </c>
      <c r="B6" s="7">
        <v>42678</v>
      </c>
      <c r="C6" s="8">
        <v>1</v>
      </c>
      <c r="D6" s="7">
        <v>42885</v>
      </c>
      <c r="E6" s="8"/>
      <c r="F6" s="8"/>
      <c r="G6" s="8"/>
      <c r="H6" s="8"/>
      <c r="I6" s="8"/>
      <c r="J6" s="8"/>
      <c r="K6" s="8"/>
      <c r="L6" s="8"/>
      <c r="M6" s="8"/>
      <c r="N6" s="9" t="str">
        <f>HYPERLINK("mailto:tcarbone@andoverma.gov","Thomas Carbone")</f>
        <v>Thomas Carbone</v>
      </c>
      <c r="O6" s="10" t="str">
        <f>HYPERLINK("mailto:Steven.Nattrass@fda.hhs.gov","Steven Nattrass")</f>
        <v>Steven Nattrass</v>
      </c>
    </row>
    <row r="7" spans="1:15" ht="30" x14ac:dyDescent="0.25">
      <c r="A7" s="11" t="str">
        <f>HYPERLINK("http://www.arlingtonma.gov/departments/health-human-services/health-department","Arlington Board of Health")</f>
        <v>Arlington Board of Health</v>
      </c>
      <c r="B7" s="12">
        <v>41922</v>
      </c>
      <c r="C7" s="13">
        <v>1</v>
      </c>
      <c r="D7" s="12">
        <v>42130</v>
      </c>
      <c r="E7" s="13" t="s">
        <v>702</v>
      </c>
      <c r="F7" s="13"/>
      <c r="G7" s="13" t="s">
        <v>702</v>
      </c>
      <c r="H7" s="13"/>
      <c r="I7" s="13"/>
      <c r="J7" s="13"/>
      <c r="K7" s="13"/>
      <c r="L7" s="13"/>
      <c r="M7" s="13"/>
      <c r="N7" s="14" t="str">
        <f>HYPERLINK("mailto:nwaden@town.arlington.ma.us","Natasha Waden")</f>
        <v>Natasha Waden</v>
      </c>
      <c r="O7" s="15" t="str">
        <f>HYPERLINK("mailto:Steven.Nattrass@fda.hhs.gov","Steven Nattrass")</f>
        <v>Steven Nattrass</v>
      </c>
    </row>
    <row r="8" spans="1:15" ht="30" x14ac:dyDescent="0.25">
      <c r="A8" s="28" t="s">
        <v>703</v>
      </c>
      <c r="B8" s="7">
        <v>42705</v>
      </c>
      <c r="C8" s="8">
        <v>1</v>
      </c>
      <c r="D8" s="8"/>
      <c r="E8" s="8"/>
      <c r="F8" s="8"/>
      <c r="G8" s="8"/>
      <c r="H8" s="8"/>
      <c r="I8" s="8"/>
      <c r="J8" s="8"/>
      <c r="K8" s="8"/>
      <c r="L8" s="8"/>
      <c r="M8" s="8"/>
      <c r="N8" s="9" t="str">
        <f>HYPERLINK("mailto:boh@townofathol.org","Melanie Rajaniemi")</f>
        <v>Melanie Rajaniemi</v>
      </c>
      <c r="O8" s="10" t="str">
        <f>HYPERLINK("mailto:Steven.Nattrass@fda.hhs.gov","Steven Nattrass")</f>
        <v>Steven Nattrass</v>
      </c>
    </row>
    <row r="9" spans="1:15" ht="30" x14ac:dyDescent="0.25">
      <c r="A9" s="29" t="s">
        <v>704</v>
      </c>
      <c r="B9" s="12">
        <v>42460</v>
      </c>
      <c r="C9" s="13">
        <v>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4" t="str">
        <f>HYPERLINK("mailto:ttradd@avon-ma.gov","Tara Tradd")</f>
        <v>Tara Tradd</v>
      </c>
      <c r="O9" s="15" t="str">
        <f>HYPERLINK("mailto:Steven.Nattrass@fda.hhs.gov","Steven Nattrass")</f>
        <v>Steven Nattrass</v>
      </c>
    </row>
    <row r="10" spans="1:15" ht="30" x14ac:dyDescent="0.25">
      <c r="A10" s="6" t="str">
        <f>HYPERLINK("http://www.charlemont-ma.us/Town/TownBoardOfHealth.shtml","Charlemont Board of Health")</f>
        <v>Charlemont Board of Health</v>
      </c>
      <c r="B10" s="7">
        <v>40415</v>
      </c>
      <c r="C10" s="8">
        <v>1</v>
      </c>
      <c r="D10" s="7">
        <v>41053</v>
      </c>
      <c r="E10" s="8" t="s">
        <v>705</v>
      </c>
      <c r="F10" s="8"/>
      <c r="G10" s="8"/>
      <c r="H10" s="8"/>
      <c r="I10" s="8"/>
      <c r="J10" s="8"/>
      <c r="K10" s="8"/>
      <c r="L10" s="8"/>
      <c r="M10" s="8"/>
      <c r="N10" s="8" t="s">
        <v>706</v>
      </c>
      <c r="O10" s="10" t="str">
        <f>HYPERLINK("mailto:Steven.Nattrass@fda.hhs.gov","Steven Nattrass")</f>
        <v>Steven Nattrass</v>
      </c>
    </row>
    <row r="11" spans="1:15" ht="30" x14ac:dyDescent="0.25">
      <c r="A11" s="6" t="str">
        <f>HYPERLINK("http://www.charlemont-ma.us/Town/TownBoardOfHealth.shtml","Charlemont Board of Health")</f>
        <v>Charlemont Board of Health</v>
      </c>
      <c r="B11" s="7">
        <v>40415</v>
      </c>
      <c r="C11" s="8">
        <v>2</v>
      </c>
      <c r="D11" s="7">
        <v>43424</v>
      </c>
      <c r="E11" s="8" t="s">
        <v>707</v>
      </c>
      <c r="F11" s="8"/>
      <c r="G11" s="8"/>
      <c r="H11" s="8"/>
      <c r="I11" s="8"/>
      <c r="J11" s="8" t="s">
        <v>707</v>
      </c>
      <c r="K11" s="8" t="s">
        <v>708</v>
      </c>
      <c r="L11" s="8"/>
      <c r="M11" s="8"/>
      <c r="N11" s="8"/>
      <c r="O11" s="10" t="str">
        <f>HYPERLINK("mailto:Steven.Nattrass@fda.hhs.gov","Steven Nattrass")</f>
        <v>Steven Nattrass</v>
      </c>
    </row>
    <row r="12" spans="1:15" ht="30" x14ac:dyDescent="0.25">
      <c r="A12" s="11" t="str">
        <f>HYPERLINK("http://www.cityofboston.gov/","City of Boston")</f>
        <v>City of Boston</v>
      </c>
      <c r="B12" s="12">
        <v>38343</v>
      </c>
      <c r="C12" s="13">
        <v>1</v>
      </c>
      <c r="D12" s="12">
        <v>38687</v>
      </c>
      <c r="E12" s="13" t="s">
        <v>709</v>
      </c>
      <c r="F12" s="13"/>
      <c r="G12" s="13"/>
      <c r="H12" s="13"/>
      <c r="I12" s="13" t="s">
        <v>709</v>
      </c>
      <c r="J12" s="13"/>
      <c r="K12" s="13" t="s">
        <v>709</v>
      </c>
      <c r="L12" s="13"/>
      <c r="M12" s="13"/>
      <c r="N12" s="14" t="str">
        <f>HYPERLINK("mailto:Diane.chalifoux@boston.gov","Diane Chalifoux")</f>
        <v>Diane Chalifoux</v>
      </c>
      <c r="O12" s="15" t="str">
        <f>HYPERLINK("mailto:Steven.Nattrass@fda.hhs.gov","Steven Nattrass")</f>
        <v>Steven Nattrass</v>
      </c>
    </row>
    <row r="13" spans="1:15" ht="30" x14ac:dyDescent="0.25">
      <c r="A13" s="28" t="s">
        <v>710</v>
      </c>
      <c r="B13" s="7">
        <v>42894</v>
      </c>
      <c r="C13" s="8">
        <v>1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9" t="str">
        <f>HYPERLINK("mailto:lprado@chelseama.gov","Luis Prado")</f>
        <v>Luis Prado</v>
      </c>
      <c r="O13" s="10" t="str">
        <f>HYPERLINK("mailto:Steven.Nattrass@fda.hhs.gov","Steven Nattrass")</f>
        <v>Steven Nattrass</v>
      </c>
    </row>
    <row r="14" spans="1:15" ht="30" x14ac:dyDescent="0.25">
      <c r="A14" s="29" t="s">
        <v>711</v>
      </c>
      <c r="B14" s="12">
        <v>42279</v>
      </c>
      <c r="C14" s="13">
        <v>1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4" t="str">
        <f>HYPERLINK("mailto:jstaskiewicz@fallriverma.org","John Staskiewicz")</f>
        <v>John Staskiewicz</v>
      </c>
      <c r="O14" s="15" t="str">
        <f>HYPERLINK("mailto:Steven.Nattrass@fda.hhs.gov","Steven Nattrass")</f>
        <v>Steven Nattrass</v>
      </c>
    </row>
    <row r="15" spans="1:15" ht="30" x14ac:dyDescent="0.25">
      <c r="A15" s="28" t="s">
        <v>712</v>
      </c>
      <c r="B15" s="7">
        <v>43004</v>
      </c>
      <c r="C15" s="8">
        <v>1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9" t="str">
        <f>HYPERLINK("mailto:sholinko@fitchburgma.gov","Stephanie R. Holinko")</f>
        <v>Stephanie R. Holinko</v>
      </c>
      <c r="O15" s="10" t="str">
        <f>HYPERLINK("mailto:Steven.Nattrass@fda.hhs.gov","Steven Nattrass")</f>
        <v>Steven Nattrass</v>
      </c>
    </row>
    <row r="16" spans="1:15" ht="30" x14ac:dyDescent="0.25">
      <c r="A16" s="29" t="s">
        <v>713</v>
      </c>
      <c r="B16" s="12">
        <v>42310</v>
      </c>
      <c r="C16" s="13">
        <v>1</v>
      </c>
      <c r="D16" s="12">
        <v>42354</v>
      </c>
      <c r="E16" s="13"/>
      <c r="F16" s="13"/>
      <c r="G16" s="13"/>
      <c r="H16" s="13"/>
      <c r="I16" s="13"/>
      <c r="J16" s="13"/>
      <c r="K16" s="13"/>
      <c r="L16" s="13"/>
      <c r="M16" s="13"/>
      <c r="N16" s="14" t="str">
        <f>HYPERLINK("mailto:cwebb@cityofmalden.org","Christopher Webb")</f>
        <v>Christopher Webb</v>
      </c>
      <c r="O16" s="15" t="str">
        <f>HYPERLINK("mailto:Steven.Nattrass@fda.hhs.gov","Steven Nattrass")</f>
        <v>Steven Nattrass</v>
      </c>
    </row>
    <row r="17" spans="1:15" ht="30" x14ac:dyDescent="0.25">
      <c r="A17" s="28" t="s">
        <v>714</v>
      </c>
      <c r="B17" s="7">
        <v>42228</v>
      </c>
      <c r="C17" s="8">
        <v>1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9" t="str">
        <f>HYPERLINK("mailto:clibery@marlborough-ma.gov","Cathleen Libery")</f>
        <v>Cathleen Libery</v>
      </c>
      <c r="O17" s="10" t="str">
        <f>HYPERLINK("mailto:Steven.Nattrass@fda.hhs.gov","Steven Nattrass")</f>
        <v>Steven Nattrass</v>
      </c>
    </row>
    <row r="18" spans="1:15" ht="30" x14ac:dyDescent="0.25">
      <c r="A18" s="28" t="s">
        <v>714</v>
      </c>
      <c r="B18" s="7">
        <v>42228</v>
      </c>
      <c r="C18" s="8">
        <v>2</v>
      </c>
      <c r="D18" s="7">
        <v>42917</v>
      </c>
      <c r="E18" s="8"/>
      <c r="F18" s="8"/>
      <c r="G18" s="8"/>
      <c r="H18" s="8"/>
      <c r="I18" s="8"/>
      <c r="J18" s="8"/>
      <c r="K18" s="8"/>
      <c r="L18" s="8"/>
      <c r="M18" s="8"/>
      <c r="N18" s="9" t="str">
        <f>HYPERLINK("mailto:clibery@marlborough-ma.gov","Cathleen Libery")</f>
        <v>Cathleen Libery</v>
      </c>
      <c r="O18" s="10" t="str">
        <f>HYPERLINK("mailto:Steven.Nattrass@fda.hhs.gov","Steven Nattrass")</f>
        <v>Steven Nattrass</v>
      </c>
    </row>
    <row r="19" spans="1:15" ht="30" x14ac:dyDescent="0.25">
      <c r="A19" s="11" t="str">
        <f>HYPERLINK("http://www.medford.org/","City of Medford")</f>
        <v>City of Medford</v>
      </c>
      <c r="B19" s="12">
        <v>39925</v>
      </c>
      <c r="C19" s="13">
        <v>1</v>
      </c>
      <c r="D19" s="12">
        <v>40498</v>
      </c>
      <c r="E19" s="13" t="s">
        <v>715</v>
      </c>
      <c r="F19" s="13"/>
      <c r="G19" s="13"/>
      <c r="H19" s="13"/>
      <c r="I19" s="13"/>
      <c r="J19" s="13"/>
      <c r="K19" s="13"/>
      <c r="L19" s="13"/>
      <c r="M19" s="13" t="s">
        <v>715</v>
      </c>
      <c r="N19" s="13" t="s">
        <v>716</v>
      </c>
      <c r="O19" s="15" t="str">
        <f>HYPERLINK("mailto:Steven.Nattrass@fda.hhs.gov","Steven Nattrass")</f>
        <v>Steven Nattrass</v>
      </c>
    </row>
    <row r="20" spans="1:15" ht="30" x14ac:dyDescent="0.25">
      <c r="A20" s="11" t="str">
        <f>HYPERLINK("http://www.medford.org/","City of Medford")</f>
        <v>City of Medford</v>
      </c>
      <c r="B20" s="12">
        <v>39925</v>
      </c>
      <c r="C20" s="13">
        <v>2</v>
      </c>
      <c r="D20" s="12">
        <v>42356</v>
      </c>
      <c r="E20" s="13"/>
      <c r="F20" s="13"/>
      <c r="G20" s="13"/>
      <c r="H20" s="13"/>
      <c r="I20" s="13"/>
      <c r="J20" s="13"/>
      <c r="K20" s="13"/>
      <c r="L20" s="13"/>
      <c r="M20" s="13"/>
      <c r="N20" s="13" t="s">
        <v>716</v>
      </c>
      <c r="O20" s="15" t="str">
        <f>HYPERLINK("mailto:Steven.Nattrass@fda.hhs.gov","Steven Nattrass")</f>
        <v>Steven Nattrass</v>
      </c>
    </row>
    <row r="21" spans="1:15" ht="30" x14ac:dyDescent="0.25">
      <c r="A21" s="6" t="str">
        <f>HYPERLINK("https://www.cityofmelrose.org/","City of Melrose")</f>
        <v>City of Melrose</v>
      </c>
      <c r="B21" s="7">
        <v>42081</v>
      </c>
      <c r="C21" s="8">
        <v>1</v>
      </c>
      <c r="D21" s="7">
        <v>42179</v>
      </c>
      <c r="E21" s="8"/>
      <c r="F21" s="8"/>
      <c r="G21" s="8"/>
      <c r="H21" s="8"/>
      <c r="I21" s="8"/>
      <c r="J21" s="8"/>
      <c r="K21" s="8"/>
      <c r="L21" s="8"/>
      <c r="M21" s="8"/>
      <c r="N21" s="9" t="str">
        <f>HYPERLINK("mailto:rclay@cityofmelrose.org","Ruth L. Clay")</f>
        <v>Ruth L. Clay</v>
      </c>
      <c r="O21" s="10" t="str">
        <f>HYPERLINK("mailto:Steven.Nattrass@fda.hhs.gov","Steven Nattrass")</f>
        <v>Steven Nattrass</v>
      </c>
    </row>
    <row r="22" spans="1:15" ht="30" x14ac:dyDescent="0.25">
      <c r="A22" s="6" t="str">
        <f>HYPERLINK("https://www.cityofmelrose.org/","City of Melrose")</f>
        <v>City of Melrose</v>
      </c>
      <c r="B22" s="7">
        <v>42081</v>
      </c>
      <c r="C22" s="8">
        <v>2</v>
      </c>
      <c r="D22" s="7">
        <v>42917</v>
      </c>
      <c r="E22" s="8" t="s">
        <v>717</v>
      </c>
      <c r="F22" s="8"/>
      <c r="G22" s="8"/>
      <c r="H22" s="8"/>
      <c r="I22" s="8"/>
      <c r="J22" s="8"/>
      <c r="K22" s="8" t="s">
        <v>718</v>
      </c>
      <c r="L22" s="8"/>
      <c r="M22" s="8" t="s">
        <v>719</v>
      </c>
      <c r="N22" s="9" t="str">
        <f>HYPERLINK("mailto:rclay@cityofmelrose.org","Ruth L. Clay")</f>
        <v>Ruth L. Clay</v>
      </c>
      <c r="O22" s="10" t="str">
        <f>HYPERLINK("mailto:Steven.Nattrass@fda.hhs.gov","Steven Nattrass")</f>
        <v>Steven Nattrass</v>
      </c>
    </row>
    <row r="23" spans="1:15" ht="30" x14ac:dyDescent="0.25">
      <c r="A23" s="29" t="s">
        <v>720</v>
      </c>
      <c r="B23" s="12">
        <v>43348</v>
      </c>
      <c r="C23" s="13">
        <v>1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4" t="str">
        <f>HYPERLINK("mailto:fgiacalone@cityofnewburyport.com","Frank P. Giacalone")</f>
        <v>Frank P. Giacalone</v>
      </c>
      <c r="O23" s="15" t="str">
        <f>HYPERLINK("mailto:Steven.Nattrass@fda.hhs.gov","Steven Nattrass")</f>
        <v>Steven Nattrass</v>
      </c>
    </row>
    <row r="24" spans="1:15" ht="30" x14ac:dyDescent="0.25">
      <c r="A24" s="6" t="str">
        <f>HYPERLINK("http://www.newtonma.gov/","City of Newton")</f>
        <v>City of Newton</v>
      </c>
      <c r="B24" s="7">
        <v>38793</v>
      </c>
      <c r="C24" s="8">
        <v>1</v>
      </c>
      <c r="D24" s="7">
        <v>39130</v>
      </c>
      <c r="E24" s="8" t="s">
        <v>721</v>
      </c>
      <c r="F24" s="8"/>
      <c r="G24" s="8"/>
      <c r="H24" s="8"/>
      <c r="I24" s="8"/>
      <c r="J24" s="8"/>
      <c r="K24" s="8" t="s">
        <v>721</v>
      </c>
      <c r="L24" s="8"/>
      <c r="M24" s="8"/>
      <c r="N24" s="9" t="str">
        <f>HYPERLINK("mailto:dyoungblood@newtonma.gov","Deborah Youngblood")</f>
        <v>Deborah Youngblood</v>
      </c>
      <c r="O24" s="10" t="str">
        <f>HYPERLINK("mailto:Steven.Nattrass@fda.hhs.gov","Steven Nattrass")</f>
        <v>Steven Nattrass</v>
      </c>
    </row>
    <row r="25" spans="1:15" ht="30" x14ac:dyDescent="0.25">
      <c r="A25" s="6" t="str">
        <f>HYPERLINK("http://www.newtonma.gov/","City of Newton")</f>
        <v>City of Newton</v>
      </c>
      <c r="B25" s="7">
        <v>38793</v>
      </c>
      <c r="C25" s="8">
        <v>2</v>
      </c>
      <c r="D25" s="7">
        <v>41759</v>
      </c>
      <c r="E25" s="8" t="s">
        <v>722</v>
      </c>
      <c r="F25" s="8"/>
      <c r="G25" s="8" t="s">
        <v>722</v>
      </c>
      <c r="H25" s="8"/>
      <c r="I25" s="8" t="s">
        <v>723</v>
      </c>
      <c r="J25" s="8"/>
      <c r="K25" s="8" t="s">
        <v>723</v>
      </c>
      <c r="L25" s="8"/>
      <c r="M25" s="8" t="s">
        <v>724</v>
      </c>
      <c r="N25" s="9" t="str">
        <f>HYPERLINK("mailto:dyoungblood@newtonma.gov","Deborah Youngblood")</f>
        <v>Deborah Youngblood</v>
      </c>
      <c r="O25" s="10" t="str">
        <f>HYPERLINK("mailto:Steven.Nattrass@fda.hhs.gov","Steven Nattrass")</f>
        <v>Steven Nattrass</v>
      </c>
    </row>
    <row r="26" spans="1:15" ht="30" x14ac:dyDescent="0.25">
      <c r="A26" s="11" t="str">
        <f>HYPERLINK("http://www.peabody-ma.gov/","City of Peabody")</f>
        <v>City of Peabody</v>
      </c>
      <c r="B26" s="12">
        <v>40001</v>
      </c>
      <c r="C26" s="13">
        <v>1</v>
      </c>
      <c r="D26" s="12">
        <v>40589</v>
      </c>
      <c r="E26" s="13" t="s">
        <v>725</v>
      </c>
      <c r="F26" s="13"/>
      <c r="G26" s="13" t="s">
        <v>726</v>
      </c>
      <c r="H26" s="13"/>
      <c r="I26" s="13"/>
      <c r="J26" s="13"/>
      <c r="K26" s="13" t="s">
        <v>726</v>
      </c>
      <c r="L26" s="13"/>
      <c r="M26" s="13" t="s">
        <v>725</v>
      </c>
      <c r="N26" s="13" t="s">
        <v>727</v>
      </c>
      <c r="O26" s="15" t="str">
        <f>HYPERLINK("mailto:Steven.Nattrass@fda.hhs.gov","Steven Nattrass")</f>
        <v>Steven Nattrass</v>
      </c>
    </row>
    <row r="27" spans="1:15" ht="30" x14ac:dyDescent="0.25">
      <c r="A27" s="11" t="str">
        <f>HYPERLINK("http://www.peabody-ma.gov/","City of Peabody")</f>
        <v>City of Peabody</v>
      </c>
      <c r="B27" s="12">
        <v>40001</v>
      </c>
      <c r="C27" s="13">
        <v>2</v>
      </c>
      <c r="D27" s="12">
        <v>41893</v>
      </c>
      <c r="E27" s="13"/>
      <c r="F27" s="13"/>
      <c r="G27" s="13"/>
      <c r="H27" s="13"/>
      <c r="I27" s="13"/>
      <c r="J27" s="13"/>
      <c r="K27" s="13"/>
      <c r="L27" s="13"/>
      <c r="M27" s="13" t="s">
        <v>728</v>
      </c>
      <c r="N27" s="13" t="s">
        <v>727</v>
      </c>
      <c r="O27" s="15" t="str">
        <f>HYPERLINK("mailto:Steven.Nattrass@fda.hhs.gov","Steven Nattrass")</f>
        <v>Steven Nattrass</v>
      </c>
    </row>
    <row r="28" spans="1:15" ht="30" x14ac:dyDescent="0.25">
      <c r="A28" s="11" t="str">
        <f>HYPERLINK("http://www.peabody-ma.gov/","City of Peabody")</f>
        <v>City of Peabody</v>
      </c>
      <c r="B28" s="12">
        <v>40001</v>
      </c>
      <c r="C28" s="13">
        <v>3</v>
      </c>
      <c r="D28" s="12">
        <v>42549</v>
      </c>
      <c r="E28" s="13"/>
      <c r="F28" s="13"/>
      <c r="G28" s="13" t="s">
        <v>729</v>
      </c>
      <c r="H28" s="13"/>
      <c r="I28" s="13"/>
      <c r="J28" s="13"/>
      <c r="K28" s="13"/>
      <c r="L28" s="13"/>
      <c r="M28" s="13"/>
      <c r="N28" s="13" t="s">
        <v>727</v>
      </c>
      <c r="O28" s="15" t="str">
        <f>HYPERLINK("mailto:Steven.Nattrass@fda.hhs.gov","Steven Nattrass")</f>
        <v>Steven Nattrass</v>
      </c>
    </row>
    <row r="29" spans="1:15" ht="30" x14ac:dyDescent="0.25">
      <c r="A29" s="6" t="str">
        <f>HYPERLINK("http://www.cityofpittsfield.org/","City of Pittsfield Health Department")</f>
        <v>City of Pittsfield Health Department</v>
      </c>
      <c r="B29" s="7">
        <v>41037</v>
      </c>
      <c r="C29" s="8">
        <v>1</v>
      </c>
      <c r="D29" s="7">
        <v>42999</v>
      </c>
      <c r="E29" s="8"/>
      <c r="F29" s="8"/>
      <c r="G29" s="8"/>
      <c r="H29" s="8"/>
      <c r="I29" s="8"/>
      <c r="J29" s="8"/>
      <c r="K29" s="8"/>
      <c r="L29" s="8"/>
      <c r="M29" s="8"/>
      <c r="N29" s="9" t="str">
        <f>HYPERLINK("mailto:cnicholas@pittsfieldch.com","Cory Nicholas")</f>
        <v>Cory Nicholas</v>
      </c>
      <c r="O29" s="10" t="str">
        <f>HYPERLINK("mailto:Steven.Nattrass@fda.hhs.gov","Steven Nattrass")</f>
        <v>Steven Nattrass</v>
      </c>
    </row>
    <row r="30" spans="1:15" ht="30" x14ac:dyDescent="0.25">
      <c r="A30" s="11" t="str">
        <f>HYPERLINK("http://www.salem.com/pages/salemMA_Health/index","City of Salem Board of Health")</f>
        <v>City of Salem Board of Health</v>
      </c>
      <c r="B30" s="12">
        <v>41032</v>
      </c>
      <c r="C30" s="13">
        <v>1</v>
      </c>
      <c r="D30" s="12">
        <v>41432</v>
      </c>
      <c r="E30" s="13" t="s">
        <v>730</v>
      </c>
      <c r="F30" s="13"/>
      <c r="G30" s="13"/>
      <c r="H30" s="13"/>
      <c r="I30" s="13" t="s">
        <v>730</v>
      </c>
      <c r="J30" s="13"/>
      <c r="K30" s="13" t="s">
        <v>730</v>
      </c>
      <c r="L30" s="13"/>
      <c r="M30" s="13"/>
      <c r="N30" s="13" t="s">
        <v>731</v>
      </c>
      <c r="O30" s="15" t="str">
        <f>HYPERLINK("mailto:Steven.Nattrass@fda.hhs.gov","Steven Nattrass")</f>
        <v>Steven Nattrass</v>
      </c>
    </row>
    <row r="31" spans="1:15" ht="30" x14ac:dyDescent="0.25">
      <c r="A31" s="6" t="str">
        <f>HYPERLINK("http://www.somervillema.gov/","City of Somerville")</f>
        <v>City of Somerville</v>
      </c>
      <c r="B31" s="7">
        <v>41695</v>
      </c>
      <c r="C31" s="8">
        <v>1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9" t="str">
        <f>HYPERLINK("mailto:prcaragianes@somervillema.gov","Paulette Renault-Carigianes")</f>
        <v>Paulette Renault-Carigianes</v>
      </c>
      <c r="O31" s="10" t="str">
        <f>HYPERLINK("mailto:Steven.Nattrass@fda.hhs.gov","Steven Nattrass")</f>
        <v>Steven Nattrass</v>
      </c>
    </row>
    <row r="32" spans="1:15" ht="30" x14ac:dyDescent="0.25">
      <c r="A32" s="11" t="str">
        <f>HYPERLINK("http://townofconway.com/departments/board-of-health/","Conway Board of Health")</f>
        <v>Conway Board of Health</v>
      </c>
      <c r="B32" s="12">
        <v>41003</v>
      </c>
      <c r="C32" s="13">
        <v>1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 t="s">
        <v>706</v>
      </c>
      <c r="O32" s="15" t="str">
        <f>HYPERLINK("mailto:Steven.Nattrass@fda.hhs.gov","Steven Nattrass")</f>
        <v>Steven Nattrass</v>
      </c>
    </row>
    <row r="33" spans="1:15" ht="30" x14ac:dyDescent="0.25">
      <c r="A33" s="6" t="str">
        <f>HYPERLINK("http://www.deerfieldma.us/","Deerfield Board of Health")</f>
        <v>Deerfield Board of Health</v>
      </c>
      <c r="B33" s="7">
        <v>41032</v>
      </c>
      <c r="C33" s="8">
        <v>1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 t="s">
        <v>732</v>
      </c>
      <c r="O33" s="10" t="str">
        <f>HYPERLINK("mailto:Steven.Nattrass@fda.hhs.gov","Steven Nattrass")</f>
        <v>Steven Nattrass</v>
      </c>
    </row>
    <row r="34" spans="1:15" ht="30" x14ac:dyDescent="0.25">
      <c r="A34" s="29" t="s">
        <v>733</v>
      </c>
      <c r="B34" s="12">
        <v>42634</v>
      </c>
      <c r="C34" s="13">
        <v>1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4" t="str">
        <f>HYPERLINK("mailto:aimeepterosky@eastlongmeadowma.gov","Aimee Petrosky")</f>
        <v>Aimee Petrosky</v>
      </c>
      <c r="O34" s="15" t="str">
        <f>HYPERLINK("mailto:Steven.Nattrass@fda.hhs.gov","Steven Nattrass")</f>
        <v>Steven Nattrass</v>
      </c>
    </row>
    <row r="35" spans="1:15" ht="30" x14ac:dyDescent="0.25">
      <c r="A35" s="6" t="str">
        <f>HYPERLINK("www.framinghamma.gov","Framingham Health Department")</f>
        <v>Framingham Health Department</v>
      </c>
      <c r="B35" s="7">
        <v>43242</v>
      </c>
      <c r="C35" s="8">
        <v>1</v>
      </c>
      <c r="D35" s="8"/>
      <c r="E35" s="8"/>
      <c r="F35" s="8"/>
      <c r="G35" s="8"/>
      <c r="H35" s="8"/>
      <c r="I35" s="8"/>
      <c r="J35" s="8"/>
      <c r="K35" s="8"/>
      <c r="L35" s="8"/>
      <c r="M35" s="8"/>
      <c r="N35" s="9" t="str">
        <f>HYPERLINK("mailto:rwilliams@framinghamma.gov","Robin Williams")</f>
        <v>Robin Williams</v>
      </c>
      <c r="O35" s="10" t="str">
        <f>HYPERLINK("mailto:Steven.Nattrass@fda.hhs.gov","Steven Nattrass")</f>
        <v>Steven Nattrass</v>
      </c>
    </row>
    <row r="36" spans="1:15" ht="30" x14ac:dyDescent="0.25">
      <c r="A36" s="29" t="s">
        <v>734</v>
      </c>
      <c r="B36" s="12">
        <v>42683</v>
      </c>
      <c r="C36" s="13">
        <v>1</v>
      </c>
      <c r="D36" s="12">
        <v>42776</v>
      </c>
      <c r="E36" s="13" t="s">
        <v>735</v>
      </c>
      <c r="F36" s="13"/>
      <c r="G36" s="13"/>
      <c r="H36" s="13"/>
      <c r="I36" s="13"/>
      <c r="J36" s="13"/>
      <c r="K36" s="13"/>
      <c r="L36" s="13"/>
      <c r="M36" s="13"/>
      <c r="N36" s="14" t="str">
        <f>HYPERLINK("mailto:lwhelan@hamiltonma.gov","Leslie Whelan")</f>
        <v>Leslie Whelan</v>
      </c>
      <c r="O36" s="15" t="str">
        <f>HYPERLINK("mailto:Steven.Nattrass@fda.hhs.gov","Steven Nattrass")</f>
        <v>Steven Nattrass</v>
      </c>
    </row>
    <row r="37" spans="1:15" ht="30" x14ac:dyDescent="0.25">
      <c r="A37" s="29" t="s">
        <v>734</v>
      </c>
      <c r="B37" s="12">
        <v>42683</v>
      </c>
      <c r="C37" s="13">
        <v>2</v>
      </c>
      <c r="D37" s="12">
        <v>43452</v>
      </c>
      <c r="E37" s="13" t="s">
        <v>736</v>
      </c>
      <c r="F37" s="13"/>
      <c r="G37" s="13"/>
      <c r="H37" s="13"/>
      <c r="I37" s="13"/>
      <c r="J37" s="13"/>
      <c r="K37" s="13"/>
      <c r="L37" s="13"/>
      <c r="M37" s="13"/>
      <c r="N37" s="14" t="str">
        <f>HYPERLINK("mailto:lwhelan@hamiltonma.gov","Leslie Whelan")</f>
        <v>Leslie Whelan</v>
      </c>
      <c r="O37" s="15" t="str">
        <f>HYPERLINK("mailto:Steven.Nattrass@fda.hhs.gov","Steven Nattrass")</f>
        <v>Steven Nattrass</v>
      </c>
    </row>
    <row r="38" spans="1:15" ht="30" x14ac:dyDescent="0.25">
      <c r="A38" s="28" t="s">
        <v>737</v>
      </c>
      <c r="B38" s="7">
        <v>41110</v>
      </c>
      <c r="C38" s="8">
        <v>1</v>
      </c>
      <c r="D38" s="8"/>
      <c r="E38" s="8"/>
      <c r="F38" s="8"/>
      <c r="G38" s="8"/>
      <c r="H38" s="8"/>
      <c r="I38" s="8"/>
      <c r="J38" s="8"/>
      <c r="K38" s="8"/>
      <c r="L38" s="8"/>
      <c r="M38" s="8"/>
      <c r="N38" s="9" t="str">
        <f>HYPERLINK("mailto:info@townofhawley.com","Philip Keenan")</f>
        <v>Philip Keenan</v>
      </c>
      <c r="O38" s="10" t="str">
        <f>HYPERLINK("mailto:Steven.Nattrass@fda.hhs.gov","Steven Nattrass")</f>
        <v>Steven Nattrass</v>
      </c>
    </row>
    <row r="39" spans="1:15" ht="30" x14ac:dyDescent="0.25">
      <c r="A39" s="28" t="s">
        <v>737</v>
      </c>
      <c r="B39" s="7">
        <v>41110</v>
      </c>
      <c r="C39" s="8">
        <v>2</v>
      </c>
      <c r="D39" s="7">
        <v>43424</v>
      </c>
      <c r="E39" s="8" t="s">
        <v>707</v>
      </c>
      <c r="F39" s="8"/>
      <c r="G39" s="8"/>
      <c r="H39" s="8"/>
      <c r="I39" s="8"/>
      <c r="J39" s="8" t="s">
        <v>707</v>
      </c>
      <c r="K39" s="8" t="s">
        <v>708</v>
      </c>
      <c r="L39" s="8"/>
      <c r="M39" s="8"/>
      <c r="N39" s="9" t="str">
        <f>HYPERLINK("mailto:rcrochier@frcog.org","Randy Crochier")</f>
        <v>Randy Crochier</v>
      </c>
      <c r="O39" s="10" t="str">
        <f>HYPERLINK("mailto:Steven.Nattrass@fda.hhs.gov","Steven Nattrass")</f>
        <v>Steven Nattrass</v>
      </c>
    </row>
    <row r="40" spans="1:15" ht="30" x14ac:dyDescent="0.25">
      <c r="A40" s="29" t="s">
        <v>738</v>
      </c>
      <c r="B40" s="12">
        <v>40641</v>
      </c>
      <c r="C40" s="13">
        <v>1</v>
      </c>
      <c r="D40" s="12">
        <v>40746</v>
      </c>
      <c r="E40" s="13" t="s">
        <v>739</v>
      </c>
      <c r="F40" s="13" t="s">
        <v>739</v>
      </c>
      <c r="G40" s="13"/>
      <c r="H40" s="13"/>
      <c r="I40" s="13"/>
      <c r="J40" s="13"/>
      <c r="K40" s="13" t="s">
        <v>739</v>
      </c>
      <c r="L40" s="13"/>
      <c r="M40" s="13"/>
      <c r="N40" s="13"/>
      <c r="O40" s="15" t="str">
        <f>HYPERLINK("mailto:Steven.Nattrass@fda.hhs.gov","Steven Nattrass")</f>
        <v>Steven Nattrass</v>
      </c>
    </row>
    <row r="41" spans="1:15" ht="30" x14ac:dyDescent="0.25">
      <c r="A41" s="29" t="s">
        <v>738</v>
      </c>
      <c r="B41" s="12">
        <v>40641</v>
      </c>
      <c r="C41" s="13">
        <v>2</v>
      </c>
      <c r="D41" s="12">
        <v>42551</v>
      </c>
      <c r="E41" s="13"/>
      <c r="F41" s="13" t="s">
        <v>740</v>
      </c>
      <c r="G41" s="13"/>
      <c r="H41" s="13"/>
      <c r="I41" s="13"/>
      <c r="J41" s="13"/>
      <c r="K41" s="13" t="s">
        <v>740</v>
      </c>
      <c r="L41" s="13"/>
      <c r="M41" s="13"/>
      <c r="N41" s="13"/>
      <c r="O41" s="15" t="str">
        <f>HYPERLINK("mailto:Steven.Nattrass@fda.hhs.gov","Steven Nattrass")</f>
        <v>Steven Nattrass</v>
      </c>
    </row>
    <row r="42" spans="1:15" ht="30" x14ac:dyDescent="0.25">
      <c r="A42" s="29" t="s">
        <v>738</v>
      </c>
      <c r="B42" s="12">
        <v>40641</v>
      </c>
      <c r="C42" s="13">
        <v>3</v>
      </c>
      <c r="D42" s="12">
        <v>42879</v>
      </c>
      <c r="E42" s="13"/>
      <c r="F42" s="13" t="s">
        <v>741</v>
      </c>
      <c r="G42" s="13"/>
      <c r="H42" s="13"/>
      <c r="I42" s="13"/>
      <c r="J42" s="13"/>
      <c r="K42" s="13" t="s">
        <v>742</v>
      </c>
      <c r="L42" s="13"/>
      <c r="M42" s="13"/>
      <c r="N42" s="14" t="str">
        <f>HYPERLINK("mailto:safefood@berkshire.rr.com","Nancy Simonds-Ruderman")</f>
        <v>Nancy Simonds-Ruderman</v>
      </c>
      <c r="O42" s="15" t="str">
        <f>HYPERLINK("mailto:Steven.Nattrass@fda.hhs.gov","Steven Nattrass")</f>
        <v>Steven Nattrass</v>
      </c>
    </row>
    <row r="43" spans="1:15" ht="30" x14ac:dyDescent="0.25">
      <c r="A43" s="6" t="str">
        <f>HYPERLINK("http://www.townofleyden.com/","Leyden Board of Health")</f>
        <v>Leyden Board of Health</v>
      </c>
      <c r="B43" s="7">
        <v>41002</v>
      </c>
      <c r="C43" s="8">
        <v>1</v>
      </c>
      <c r="D43" s="7">
        <v>41053</v>
      </c>
      <c r="E43" s="8" t="s">
        <v>705</v>
      </c>
      <c r="F43" s="8"/>
      <c r="G43" s="8"/>
      <c r="H43" s="8"/>
      <c r="I43" s="8"/>
      <c r="J43" s="8"/>
      <c r="K43" s="8"/>
      <c r="L43" s="8"/>
      <c r="M43" s="8"/>
      <c r="N43" s="8" t="s">
        <v>706</v>
      </c>
      <c r="O43" s="10" t="str">
        <f>HYPERLINK("mailto:Steven.Nattrass@fda.hhs.gov","Steven Nattrass")</f>
        <v>Steven Nattrass</v>
      </c>
    </row>
    <row r="44" spans="1:15" ht="30" x14ac:dyDescent="0.25">
      <c r="A44" s="6" t="str">
        <f>HYPERLINK("http://www.townofleyden.com/","Leyden Board of Health")</f>
        <v>Leyden Board of Health</v>
      </c>
      <c r="B44" s="7">
        <v>41002</v>
      </c>
      <c r="C44" s="8">
        <v>2</v>
      </c>
      <c r="D44" s="7">
        <v>43424</v>
      </c>
      <c r="E44" s="8" t="s">
        <v>707</v>
      </c>
      <c r="F44" s="8"/>
      <c r="G44" s="8"/>
      <c r="H44" s="8"/>
      <c r="I44" s="8"/>
      <c r="J44" s="8" t="s">
        <v>707</v>
      </c>
      <c r="K44" s="8" t="s">
        <v>708</v>
      </c>
      <c r="L44" s="8"/>
      <c r="M44" s="8"/>
      <c r="N44" s="9" t="str">
        <f>HYPERLINK("mailto:rcrochier@frcog.org","Randy Crochier")</f>
        <v>Randy Crochier</v>
      </c>
      <c r="O44" s="10" t="str">
        <f>HYPERLINK("mailto:Steven.Nattrass@fda.hhs.gov","Steven Nattrass")</f>
        <v>Steven Nattrass</v>
      </c>
    </row>
    <row r="45" spans="1:15" ht="45" x14ac:dyDescent="0.25">
      <c r="A45" s="11" t="str">
        <f>HYPERLINK("http://www.mass.gov/dph/fpp/","Massachusetts Department of Public Health, Food Protection Program")</f>
        <v>Massachusetts Department of Public Health, Food Protection Program</v>
      </c>
      <c r="B45" s="12">
        <v>39002</v>
      </c>
      <c r="C45" s="13">
        <v>1</v>
      </c>
      <c r="D45" s="12">
        <v>39346</v>
      </c>
      <c r="E45" s="13" t="s">
        <v>743</v>
      </c>
      <c r="F45" s="13"/>
      <c r="G45" s="13"/>
      <c r="H45" s="13"/>
      <c r="I45" s="13" t="s">
        <v>743</v>
      </c>
      <c r="J45" s="13"/>
      <c r="K45" s="13" t="s">
        <v>743</v>
      </c>
      <c r="L45" s="13"/>
      <c r="M45" s="13"/>
      <c r="N45" s="13" t="s">
        <v>744</v>
      </c>
      <c r="O45" s="15" t="str">
        <f>HYPERLINK("mailto:Steven.Nattrass@fda.hhs.gov","Steven Nattrass")</f>
        <v>Steven Nattrass</v>
      </c>
    </row>
    <row r="46" spans="1:15" ht="45" x14ac:dyDescent="0.25">
      <c r="A46" s="11" t="str">
        <f>HYPERLINK("http://www.mass.gov/dph/fpp/","Massachusetts Department of Public Health, Food Protection Program")</f>
        <v>Massachusetts Department of Public Health, Food Protection Program</v>
      </c>
      <c r="B46" s="12">
        <v>39002</v>
      </c>
      <c r="C46" s="13">
        <v>2</v>
      </c>
      <c r="D46" s="12">
        <v>41248</v>
      </c>
      <c r="E46" s="13"/>
      <c r="F46" s="13"/>
      <c r="G46" s="13"/>
      <c r="H46" s="13"/>
      <c r="I46" s="13" t="s">
        <v>745</v>
      </c>
      <c r="J46" s="13"/>
      <c r="K46" s="13" t="s">
        <v>745</v>
      </c>
      <c r="L46" s="13"/>
      <c r="M46" s="13"/>
      <c r="N46" s="13" t="s">
        <v>744</v>
      </c>
      <c r="O46" s="15" t="str">
        <f>HYPERLINK("mailto:Steven.Nattrass@fda.hhs.gov","Steven Nattrass")</f>
        <v>Steven Nattrass</v>
      </c>
    </row>
    <row r="47" spans="1:15" ht="45" x14ac:dyDescent="0.25">
      <c r="A47" s="11" t="str">
        <f>HYPERLINK("http://www.mass.gov/dph/fpp/","Massachusetts Department of Public Health, Food Protection Program")</f>
        <v>Massachusetts Department of Public Health, Food Protection Program</v>
      </c>
      <c r="B47" s="12">
        <v>39002</v>
      </c>
      <c r="C47" s="13">
        <v>3</v>
      </c>
      <c r="D47" s="12">
        <v>43536</v>
      </c>
      <c r="E47" s="13" t="s">
        <v>746</v>
      </c>
      <c r="F47" s="13"/>
      <c r="G47" s="13"/>
      <c r="H47" s="13"/>
      <c r="I47" s="13"/>
      <c r="J47" s="13"/>
      <c r="K47" s="13" t="s">
        <v>746</v>
      </c>
      <c r="L47" s="13"/>
      <c r="M47" s="13"/>
      <c r="N47" s="13" t="s">
        <v>744</v>
      </c>
      <c r="O47" s="15" t="str">
        <f>HYPERLINK("mailto:Steven.Nattrass@fda.hhs.gov","Steven Nattrass")</f>
        <v>Steven Nattrass</v>
      </c>
    </row>
    <row r="48" spans="1:15" ht="30" x14ac:dyDescent="0.25">
      <c r="A48" s="28" t="s">
        <v>747</v>
      </c>
      <c r="B48" s="7">
        <v>42955</v>
      </c>
      <c r="C48" s="8">
        <v>1</v>
      </c>
      <c r="D48" s="7">
        <v>42972</v>
      </c>
      <c r="E48" s="8"/>
      <c r="F48" s="8"/>
      <c r="G48" s="8"/>
      <c r="H48" s="8"/>
      <c r="I48" s="8"/>
      <c r="J48" s="8"/>
      <c r="K48" s="8"/>
      <c r="L48" s="8"/>
      <c r="M48" s="8"/>
      <c r="N48" s="9" t="str">
        <f>HYPERLINK("mailto:eegan@townofmilton.org","Erin Egan")</f>
        <v>Erin Egan</v>
      </c>
      <c r="O48" s="10" t="str">
        <f>HYPERLINK("mailto:Steven.Nattrass@fda.hhs.gov","Steven Nattrass")</f>
        <v>Steven Nattrass</v>
      </c>
    </row>
    <row r="49" spans="1:15" ht="30" x14ac:dyDescent="0.25">
      <c r="A49" s="11" t="str">
        <f>HYPERLINK("http://www.mass.gov/?pageID=mg2topic&amp;L=3&amp;L0=Home&amp;L1=Resident&amp;L2=Health&amp;sid=massgov2","Montague Board of Health")</f>
        <v>Montague Board of Health</v>
      </c>
      <c r="B49" s="12">
        <v>40778</v>
      </c>
      <c r="C49" s="13">
        <v>1</v>
      </c>
      <c r="D49" s="12">
        <v>40785</v>
      </c>
      <c r="E49" s="13" t="s">
        <v>748</v>
      </c>
      <c r="F49" s="13"/>
      <c r="G49" s="13"/>
      <c r="H49" s="13"/>
      <c r="I49" s="13"/>
      <c r="J49" s="13"/>
      <c r="K49" s="13"/>
      <c r="L49" s="13"/>
      <c r="M49" s="13"/>
      <c r="N49" s="13" t="s">
        <v>749</v>
      </c>
      <c r="O49" s="15" t="str">
        <f>HYPERLINK("mailto:Steven.Nattrass@fda.hhs.gov","Steven Nattrass")</f>
        <v>Steven Nattrass</v>
      </c>
    </row>
    <row r="50" spans="1:15" ht="30" x14ac:dyDescent="0.25">
      <c r="A50" s="28" t="s">
        <v>750</v>
      </c>
      <c r="B50" s="7">
        <v>42695</v>
      </c>
      <c r="C50" s="8">
        <v>1</v>
      </c>
      <c r="D50" s="7">
        <v>42979</v>
      </c>
      <c r="E50" s="8"/>
      <c r="F50" s="8"/>
      <c r="G50" s="8"/>
      <c r="H50" s="8"/>
      <c r="I50" s="8"/>
      <c r="J50" s="8"/>
      <c r="K50" s="8"/>
      <c r="L50" s="8"/>
      <c r="M50" s="8"/>
      <c r="N50" s="9" t="str">
        <f>HYPERLINK("mailto:tgurge@needhamma.gov","Tara Gurge")</f>
        <v>Tara Gurge</v>
      </c>
      <c r="O50" s="10" t="str">
        <f>HYPERLINK("mailto:Steven.Nattrass@fda.hhs.gov","Steven Nattrass")</f>
        <v>Steven Nattrass</v>
      </c>
    </row>
    <row r="51" spans="1:15" ht="30" x14ac:dyDescent="0.25">
      <c r="A51" s="11" t="str">
        <f>HYPERLINK("http://www.newbedford-ma.gov/","New Bedford Health Department")</f>
        <v>New Bedford Health Department</v>
      </c>
      <c r="B51" s="12">
        <v>41338</v>
      </c>
      <c r="C51" s="13">
        <v>1</v>
      </c>
      <c r="D51" s="12">
        <v>42639</v>
      </c>
      <c r="E51" s="13"/>
      <c r="F51" s="13"/>
      <c r="G51" s="13" t="s">
        <v>751</v>
      </c>
      <c r="H51" s="13"/>
      <c r="I51" s="13"/>
      <c r="J51" s="13"/>
      <c r="K51" s="13" t="s">
        <v>751</v>
      </c>
      <c r="L51" s="13"/>
      <c r="M51" s="13"/>
      <c r="N51" s="14" t="str">
        <f>HYPERLINK("mailto:bweis@newbedford-ma.gov","Brenda Weis")</f>
        <v>Brenda Weis</v>
      </c>
      <c r="O51" s="15" t="str">
        <f>HYPERLINK("mailto:Steven.Nattrass@fda.hhs.gov","Steven Nattrass")</f>
        <v>Steven Nattrass</v>
      </c>
    </row>
    <row r="52" spans="1:15" ht="30" x14ac:dyDescent="0.25">
      <c r="A52" s="6" t="str">
        <f>HYPERLINK("http://www.northamptonma.gov/healthdept/","Northhampton Health Department")</f>
        <v>Northhampton Health Department</v>
      </c>
      <c r="B52" s="7">
        <v>40779</v>
      </c>
      <c r="C52" s="8">
        <v>1</v>
      </c>
      <c r="D52" s="7">
        <v>41078</v>
      </c>
      <c r="E52" s="8" t="s">
        <v>752</v>
      </c>
      <c r="F52" s="8"/>
      <c r="G52" s="8"/>
      <c r="H52" s="8"/>
      <c r="I52" s="8"/>
      <c r="J52" s="8"/>
      <c r="K52" s="8"/>
      <c r="L52" s="8"/>
      <c r="M52" s="8"/>
      <c r="N52" s="9" t="str">
        <f>HYPERLINK("mailto:moleary@northamptonma.gov","Merridith O'Leary")</f>
        <v>Merridith O'Leary</v>
      </c>
      <c r="O52" s="10" t="str">
        <f>HYPERLINK("mailto:Steven.Nattrass@fda.hhs.gov","Steven Nattrass")</f>
        <v>Steven Nattrass</v>
      </c>
    </row>
    <row r="53" spans="1:15" ht="30" x14ac:dyDescent="0.25">
      <c r="A53" s="11" t="str">
        <f>HYPERLINK("http://www.tewksbury-ma.gov/health-department","Tewksbury Health Department")</f>
        <v>Tewksbury Health Department</v>
      </c>
      <c r="B53" s="12">
        <v>42858</v>
      </c>
      <c r="C53" s="13">
        <v>1</v>
      </c>
      <c r="D53" s="12">
        <v>43342</v>
      </c>
      <c r="E53" s="13"/>
      <c r="F53" s="13"/>
      <c r="G53" s="13"/>
      <c r="H53" s="13"/>
      <c r="I53" s="13"/>
      <c r="J53" s="13"/>
      <c r="K53" s="13"/>
      <c r="L53" s="13"/>
      <c r="M53" s="13"/>
      <c r="N53" s="14" t="str">
        <f>HYPERLINK("mailto:ssawyer@tewksbury-ma.gov","Susan Sawyer")</f>
        <v>Susan Sawyer</v>
      </c>
      <c r="O53" s="15" t="str">
        <f>HYPERLINK("mailto:Steven.Nattrass@fda.hhs.gov","Steven Nattrass")</f>
        <v>Steven Nattrass</v>
      </c>
    </row>
    <row r="54" spans="1:15" ht="30" x14ac:dyDescent="0.25">
      <c r="A54" s="6" t="str">
        <f>HYPERLINK("http://www.ashfield.org/regs/health.html","Town of Ashfield")</f>
        <v>Town of Ashfield</v>
      </c>
      <c r="B54" s="7">
        <v>40379</v>
      </c>
      <c r="C54" s="8">
        <v>1</v>
      </c>
      <c r="D54" s="7">
        <v>41053</v>
      </c>
      <c r="E54" s="8" t="s">
        <v>705</v>
      </c>
      <c r="F54" s="8"/>
      <c r="G54" s="8"/>
      <c r="H54" s="8"/>
      <c r="I54" s="8"/>
      <c r="J54" s="8"/>
      <c r="K54" s="8"/>
      <c r="L54" s="8"/>
      <c r="M54" s="8"/>
      <c r="N54" s="8" t="s">
        <v>706</v>
      </c>
      <c r="O54" s="10" t="str">
        <f>HYPERLINK("mailto:Steven.Nattrass@fda.hhs.gov","Steven Nattrass")</f>
        <v>Steven Nattrass</v>
      </c>
    </row>
    <row r="55" spans="1:15" ht="30" x14ac:dyDescent="0.25">
      <c r="A55" s="29" t="s">
        <v>753</v>
      </c>
      <c r="B55" s="12">
        <v>42267</v>
      </c>
      <c r="C55" s="13">
        <v>1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4" t="str">
        <f>HYPERLINK("mailto:health@town.barnstable.ma.us","Thomas McKean")</f>
        <v>Thomas McKean</v>
      </c>
      <c r="O55" s="15" t="str">
        <f>HYPERLINK("mailto:Steven.Nattrass@fda.hhs.gov","Steven Nattrass")</f>
        <v>Steven Nattrass</v>
      </c>
    </row>
    <row r="56" spans="1:15" ht="30" x14ac:dyDescent="0.25">
      <c r="A56" s="28" t="s">
        <v>754</v>
      </c>
      <c r="B56" s="7">
        <v>42763</v>
      </c>
      <c r="C56" s="8">
        <v>1</v>
      </c>
      <c r="D56" s="7">
        <v>42824</v>
      </c>
      <c r="E56" s="8"/>
      <c r="F56" s="8"/>
      <c r="G56" s="8"/>
      <c r="H56" s="8"/>
      <c r="I56" s="8"/>
      <c r="J56" s="8"/>
      <c r="K56" s="8"/>
      <c r="L56" s="8"/>
      <c r="M56" s="8"/>
      <c r="N56" s="9" t="str">
        <f>HYPERLINK("mailto:jesconsulting@outlook.com","Jayne Smith")</f>
        <v>Jayne Smith</v>
      </c>
      <c r="O56" s="10" t="str">
        <f>HYPERLINK("mailto:Steven.Nattrass@fda.hhs.gov","Steven Nattrass")</f>
        <v>Steven Nattrass</v>
      </c>
    </row>
    <row r="57" spans="1:15" ht="30" x14ac:dyDescent="0.25">
      <c r="A57" s="11" t="str">
        <f>HYPERLINK("http://www.town.bernardston.ma.us/","Town of Bernardston")</f>
        <v>Town of Bernardston</v>
      </c>
      <c r="B57" s="12">
        <v>39960</v>
      </c>
      <c r="C57" s="13">
        <v>1</v>
      </c>
      <c r="D57" s="12">
        <v>41066</v>
      </c>
      <c r="E57" s="13" t="s">
        <v>755</v>
      </c>
      <c r="F57" s="13"/>
      <c r="G57" s="13"/>
      <c r="H57" s="13"/>
      <c r="I57" s="13"/>
      <c r="J57" s="13"/>
      <c r="K57" s="13"/>
      <c r="L57" s="13"/>
      <c r="M57" s="13"/>
      <c r="N57" s="13" t="s">
        <v>706</v>
      </c>
      <c r="O57" s="15" t="str">
        <f>HYPERLINK("mailto:Steven.Nattrass@fda.hhs.gov","Steven Nattrass")</f>
        <v>Steven Nattrass</v>
      </c>
    </row>
    <row r="58" spans="1:15" ht="30" x14ac:dyDescent="0.25">
      <c r="A58" s="28" t="s">
        <v>756</v>
      </c>
      <c r="B58" s="7">
        <v>39965</v>
      </c>
      <c r="C58" s="8">
        <v>1</v>
      </c>
      <c r="D58" s="7">
        <v>41053</v>
      </c>
      <c r="E58" s="8" t="s">
        <v>705</v>
      </c>
      <c r="F58" s="8"/>
      <c r="G58" s="8"/>
      <c r="H58" s="8"/>
      <c r="I58" s="8"/>
      <c r="J58" s="8"/>
      <c r="K58" s="8"/>
      <c r="L58" s="8"/>
      <c r="M58" s="8"/>
      <c r="N58" s="8" t="s">
        <v>706</v>
      </c>
      <c r="O58" s="10" t="str">
        <f>HYPERLINK("mailto:Steven.Nattrass@fda.hhs.gov","Steven Nattrass")</f>
        <v>Steven Nattrass</v>
      </c>
    </row>
    <row r="59" spans="1:15" ht="30" x14ac:dyDescent="0.25">
      <c r="A59" s="28" t="s">
        <v>756</v>
      </c>
      <c r="B59" s="7">
        <v>39965</v>
      </c>
      <c r="C59" s="8">
        <v>2</v>
      </c>
      <c r="D59" s="7">
        <v>43424</v>
      </c>
      <c r="E59" s="8" t="s">
        <v>707</v>
      </c>
      <c r="F59" s="8"/>
      <c r="G59" s="8"/>
      <c r="H59" s="8"/>
      <c r="I59" s="8"/>
      <c r="J59" s="8" t="s">
        <v>707</v>
      </c>
      <c r="K59" s="8" t="s">
        <v>708</v>
      </c>
      <c r="L59" s="8"/>
      <c r="M59" s="8"/>
      <c r="N59" s="9" t="str">
        <f>HYPERLINK("mailto:rcrochier@frcog.org","Randy Crochier")</f>
        <v>Randy Crochier</v>
      </c>
      <c r="O59" s="10" t="str">
        <f>HYPERLINK("mailto:Steven.Nattrass@fda.hhs.gov","Steven Nattrass")</f>
        <v>Steven Nattrass</v>
      </c>
    </row>
    <row r="60" spans="1:15" ht="30" x14ac:dyDescent="0.25">
      <c r="A60" s="11" t="str">
        <f>HYPERLINK("http://www.cohassetmass.org/","Town of Cohasset")</f>
        <v>Town of Cohasset</v>
      </c>
      <c r="B60" s="12">
        <v>41123</v>
      </c>
      <c r="C60" s="13">
        <v>1</v>
      </c>
      <c r="D60" s="12">
        <v>41200</v>
      </c>
      <c r="E60" s="13" t="s">
        <v>757</v>
      </c>
      <c r="F60" s="13"/>
      <c r="G60" s="13" t="s">
        <v>757</v>
      </c>
      <c r="H60" s="13"/>
      <c r="I60" s="13" t="s">
        <v>757</v>
      </c>
      <c r="J60" s="13"/>
      <c r="K60" s="13" t="s">
        <v>757</v>
      </c>
      <c r="L60" s="13" t="s">
        <v>757</v>
      </c>
      <c r="M60" s="13"/>
      <c r="N60" s="14" t="str">
        <f>HYPERLINK("mailto:ssarni@cohasset.ma.org","Susan Sarni")</f>
        <v>Susan Sarni</v>
      </c>
      <c r="O60" s="15" t="str">
        <f>HYPERLINK("mailto:Steven.Nattrass@fda.hhs.gov","Steven Nattrass")</f>
        <v>Steven Nattrass</v>
      </c>
    </row>
    <row r="61" spans="1:15" ht="30" x14ac:dyDescent="0.25">
      <c r="A61" s="11" t="str">
        <f>HYPERLINK("http://www.cohassetmass.org/","Town of Cohasset")</f>
        <v>Town of Cohasset</v>
      </c>
      <c r="B61" s="12">
        <v>41123</v>
      </c>
      <c r="C61" s="13">
        <v>2</v>
      </c>
      <c r="D61" s="12">
        <v>41883</v>
      </c>
      <c r="E61" s="13" t="s">
        <v>758</v>
      </c>
      <c r="F61" s="13"/>
      <c r="G61" s="13" t="s">
        <v>758</v>
      </c>
      <c r="H61" s="13"/>
      <c r="I61" s="13"/>
      <c r="J61" s="13"/>
      <c r="K61" s="13" t="s">
        <v>758</v>
      </c>
      <c r="L61" s="13"/>
      <c r="M61" s="13"/>
      <c r="N61" s="14" t="str">
        <f>HYPERLINK("mailto:ssarni@cohasset.ma.org","Susan Sarni")</f>
        <v>Susan Sarni</v>
      </c>
      <c r="O61" s="15" t="str">
        <f>HYPERLINK("mailto:Steven.Nattrass@fda.hhs.gov","Steven Nattrass")</f>
        <v>Steven Nattrass</v>
      </c>
    </row>
    <row r="62" spans="1:15" ht="30" x14ac:dyDescent="0.25">
      <c r="A62" s="28" t="s">
        <v>759</v>
      </c>
      <c r="B62" s="7">
        <v>40963</v>
      </c>
      <c r="C62" s="8">
        <v>1</v>
      </c>
      <c r="D62" s="8"/>
      <c r="E62" s="8"/>
      <c r="F62" s="8"/>
      <c r="G62" s="8"/>
      <c r="H62" s="8"/>
      <c r="I62" s="8"/>
      <c r="J62" s="8"/>
      <c r="K62" s="8"/>
      <c r="L62" s="8"/>
      <c r="M62" s="8"/>
      <c r="N62" s="8" t="s">
        <v>706</v>
      </c>
      <c r="O62" s="10" t="str">
        <f>HYPERLINK("mailto:Steven.Nattrass@fda.hhs.gov","Steven Nattrass")</f>
        <v>Steven Nattrass</v>
      </c>
    </row>
    <row r="63" spans="1:15" ht="30" x14ac:dyDescent="0.25">
      <c r="A63" s="29" t="s">
        <v>760</v>
      </c>
      <c r="B63" s="12">
        <v>42093</v>
      </c>
      <c r="C63" s="13">
        <v>1</v>
      </c>
      <c r="D63" s="12">
        <v>42124</v>
      </c>
      <c r="E63" s="13"/>
      <c r="F63" s="13"/>
      <c r="G63" s="13"/>
      <c r="H63" s="13"/>
      <c r="I63" s="13"/>
      <c r="J63" s="13"/>
      <c r="K63" s="13"/>
      <c r="L63" s="13"/>
      <c r="M63" s="13"/>
      <c r="N63" s="14" t="str">
        <f>HYPERLINK("mailto:jespublichealth@gmail.com","Jayne Smith")</f>
        <v>Jayne Smith</v>
      </c>
      <c r="O63" s="15" t="str">
        <f>HYPERLINK("mailto:Steven.Nattrass@fda.hhs.gov","Steven Nattrass")</f>
        <v>Steven Nattrass</v>
      </c>
    </row>
    <row r="64" spans="1:15" ht="30" x14ac:dyDescent="0.25">
      <c r="A64" s="6" t="str">
        <f>HYPERLINK("http://www.danvers-ma.org/","Town of Danvers")</f>
        <v>Town of Danvers</v>
      </c>
      <c r="B64" s="7">
        <v>38337</v>
      </c>
      <c r="C64" s="8">
        <v>1</v>
      </c>
      <c r="D64" s="7">
        <v>38685</v>
      </c>
      <c r="E64" s="8" t="s">
        <v>761</v>
      </c>
      <c r="F64" s="8"/>
      <c r="G64" s="8"/>
      <c r="H64" s="8"/>
      <c r="I64" s="8"/>
      <c r="J64" s="8"/>
      <c r="K64" s="8" t="s">
        <v>761</v>
      </c>
      <c r="L64" s="8"/>
      <c r="M64" s="8"/>
      <c r="N64" s="8" t="s">
        <v>762</v>
      </c>
      <c r="O64" s="10" t="str">
        <f>HYPERLINK("mailto:Steven.Nattrass@fda.hhs.gov","Steven Nattrass")</f>
        <v>Steven Nattrass</v>
      </c>
    </row>
    <row r="65" spans="1:15" ht="30" x14ac:dyDescent="0.25">
      <c r="A65" s="6" t="str">
        <f>HYPERLINK("http://www.danvers-ma.org/","Town of Danvers")</f>
        <v>Town of Danvers</v>
      </c>
      <c r="B65" s="7">
        <v>38337</v>
      </c>
      <c r="C65" s="8">
        <v>2</v>
      </c>
      <c r="D65" s="7">
        <v>41791</v>
      </c>
      <c r="E65" s="8"/>
      <c r="F65" s="8"/>
      <c r="G65" s="8"/>
      <c r="H65" s="8"/>
      <c r="I65" s="8"/>
      <c r="J65" s="8"/>
      <c r="K65" s="8"/>
      <c r="L65" s="8"/>
      <c r="M65" s="8"/>
      <c r="N65" s="8" t="s">
        <v>762</v>
      </c>
      <c r="O65" s="10" t="str">
        <f>HYPERLINK("mailto:Steven.Nattrass@fda.hhs.gov","Steven Nattrass")</f>
        <v>Steven Nattrass</v>
      </c>
    </row>
    <row r="66" spans="1:15" ht="30" x14ac:dyDescent="0.25">
      <c r="A66" s="11" t="str">
        <f>HYPERLINK("http://www.dedham-ma.gov/","Town of Dedham")</f>
        <v>Town of Dedham</v>
      </c>
      <c r="B66" s="12">
        <v>41908</v>
      </c>
      <c r="C66" s="13">
        <v>1</v>
      </c>
      <c r="D66" s="12">
        <v>42788</v>
      </c>
      <c r="E66" s="13"/>
      <c r="F66" s="13"/>
      <c r="G66" s="13"/>
      <c r="H66" s="13"/>
      <c r="I66" s="13"/>
      <c r="J66" s="13"/>
      <c r="K66" s="13"/>
      <c r="L66" s="13"/>
      <c r="M66" s="13"/>
      <c r="N66" s="14" t="str">
        <f>HYPERLINK("mailto:lfanagan@dedham-ma.gov","Leontia Flanagan")</f>
        <v>Leontia Flanagan</v>
      </c>
      <c r="O66" s="15" t="str">
        <f>HYPERLINK("mailto:Steven.Nattrass@fda.hhs.gov","Steven Nattrass")</f>
        <v>Steven Nattrass</v>
      </c>
    </row>
    <row r="67" spans="1:15" ht="30" x14ac:dyDescent="0.25">
      <c r="A67" s="6" t="str">
        <f>HYPERLINK("http://www.egremont-ma.gov/","Town of Egremont")</f>
        <v>Town of Egremont</v>
      </c>
      <c r="B67" s="7">
        <v>40718</v>
      </c>
      <c r="C67" s="8">
        <v>1</v>
      </c>
      <c r="D67" s="7">
        <v>40718</v>
      </c>
      <c r="E67" s="8" t="s">
        <v>763</v>
      </c>
      <c r="F67" s="8"/>
      <c r="G67" s="8"/>
      <c r="H67" s="8"/>
      <c r="I67" s="8"/>
      <c r="J67" s="8"/>
      <c r="K67" s="8"/>
      <c r="L67" s="8"/>
      <c r="M67" s="8"/>
      <c r="N67" s="8" t="s">
        <v>764</v>
      </c>
      <c r="O67" s="10" t="str">
        <f>HYPERLINK("mailto:Steven.Nattrass@fda.hhs.gov","Steven Nattrass")</f>
        <v>Steven Nattrass</v>
      </c>
    </row>
    <row r="68" spans="1:15" ht="30" x14ac:dyDescent="0.25">
      <c r="A68" s="6" t="str">
        <f>HYPERLINK("http://www.egremont-ma.gov/","Town of Egremont")</f>
        <v>Town of Egremont</v>
      </c>
      <c r="B68" s="7">
        <v>40718</v>
      </c>
      <c r="C68" s="8">
        <v>2</v>
      </c>
      <c r="D68" s="7">
        <v>42492</v>
      </c>
      <c r="E68" s="8"/>
      <c r="F68" s="8"/>
      <c r="G68" s="8"/>
      <c r="H68" s="8"/>
      <c r="I68" s="8"/>
      <c r="J68" s="8"/>
      <c r="K68" s="8" t="s">
        <v>765</v>
      </c>
      <c r="L68" s="8"/>
      <c r="M68" s="8"/>
      <c r="N68" s="8" t="s">
        <v>764</v>
      </c>
      <c r="O68" s="10" t="str">
        <f>HYPERLINK("mailto:Steven.Nattrass@fda.hhs.gov","Steven Nattrass")</f>
        <v>Steven Nattrass</v>
      </c>
    </row>
    <row r="69" spans="1:15" ht="30" x14ac:dyDescent="0.25">
      <c r="A69" s="29" t="s">
        <v>766</v>
      </c>
      <c r="B69" s="12">
        <v>43121</v>
      </c>
      <c r="C69" s="13">
        <v>1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4" t="str">
        <f>HYPERLINK("mailto:mkellogg@fairhaven-ma.gov","Mary Freire-Kellogg")</f>
        <v>Mary Freire-Kellogg</v>
      </c>
      <c r="O69" s="15" t="str">
        <f>HYPERLINK("mailto:Steven.Nattrass@fda.hhs.gov","Steven Nattrass")</f>
        <v>Steven Nattrass</v>
      </c>
    </row>
    <row r="70" spans="1:15" ht="30" x14ac:dyDescent="0.25">
      <c r="A70" s="6" t="str">
        <f>HYPERLINK("http://www.gillmass.org/health.php","Town of Gill")</f>
        <v>Town of Gill</v>
      </c>
      <c r="B70" s="7">
        <v>40385</v>
      </c>
      <c r="C70" s="8">
        <v>1</v>
      </c>
      <c r="D70" s="7">
        <v>41053</v>
      </c>
      <c r="E70" s="8" t="s">
        <v>705</v>
      </c>
      <c r="F70" s="8"/>
      <c r="G70" s="8"/>
      <c r="H70" s="8"/>
      <c r="I70" s="8"/>
      <c r="J70" s="8"/>
      <c r="K70" s="8"/>
      <c r="L70" s="8"/>
      <c r="M70" s="8"/>
      <c r="N70" s="8" t="s">
        <v>706</v>
      </c>
      <c r="O70" s="10" t="str">
        <f>HYPERLINK("mailto:Steven.Nattrass@fda.hhs.gov","Steven Nattrass")</f>
        <v>Steven Nattrass</v>
      </c>
    </row>
    <row r="71" spans="1:15" ht="30" x14ac:dyDescent="0.25">
      <c r="A71" s="6" t="str">
        <f>HYPERLINK("http://www.gillmass.org/health.php","Town of Gill")</f>
        <v>Town of Gill</v>
      </c>
      <c r="B71" s="7">
        <v>40385</v>
      </c>
      <c r="C71" s="8">
        <v>2</v>
      </c>
      <c r="D71" s="7">
        <v>43424</v>
      </c>
      <c r="E71" s="8" t="s">
        <v>707</v>
      </c>
      <c r="F71" s="8"/>
      <c r="G71" s="8"/>
      <c r="H71" s="8"/>
      <c r="I71" s="8"/>
      <c r="J71" s="8" t="s">
        <v>707</v>
      </c>
      <c r="K71" s="8" t="s">
        <v>708</v>
      </c>
      <c r="L71" s="8"/>
      <c r="M71" s="8"/>
      <c r="N71" s="9" t="str">
        <f>HYPERLINK("mailto:rcrochier@frcog.org","Randy Crochier")</f>
        <v>Randy Crochier</v>
      </c>
      <c r="O71" s="10" t="str">
        <f>HYPERLINK("mailto:Steven.Nattrass@fda.hhs.gov","Steven Nattrass")</f>
        <v>Steven Nattrass</v>
      </c>
    </row>
    <row r="72" spans="1:15" ht="30" x14ac:dyDescent="0.25">
      <c r="A72" s="11" t="str">
        <f>HYPERLINK("http://www.townofgreenfield.org/Pages/index","Town of Great Barrington")</f>
        <v>Town of Great Barrington</v>
      </c>
      <c r="B72" s="12">
        <v>41396</v>
      </c>
      <c r="C72" s="13">
        <v>1</v>
      </c>
      <c r="D72" s="12">
        <v>41443</v>
      </c>
      <c r="E72" s="13"/>
      <c r="F72" s="13"/>
      <c r="G72" s="13"/>
      <c r="H72" s="13"/>
      <c r="I72" s="13"/>
      <c r="J72" s="13"/>
      <c r="K72" s="13"/>
      <c r="L72" s="13"/>
      <c r="M72" s="13"/>
      <c r="N72" s="14" t="str">
        <f>HYPERLINK("mailto:mprohenski@townofgb.org","Mark Pruhenski")</f>
        <v>Mark Pruhenski</v>
      </c>
      <c r="O72" s="15" t="str">
        <f>HYPERLINK("mailto:Steven.Nattrass@fda.hhs.gov","Steven Nattrass")</f>
        <v>Steven Nattrass</v>
      </c>
    </row>
    <row r="73" spans="1:15" ht="30" x14ac:dyDescent="0.25">
      <c r="A73" s="11" t="str">
        <f>HYPERLINK("http://www.townofgreenfield.org/Pages/index","Town of Great Barrington")</f>
        <v>Town of Great Barrington</v>
      </c>
      <c r="B73" s="12">
        <v>41396</v>
      </c>
      <c r="C73" s="13">
        <v>2</v>
      </c>
      <c r="D73" s="12">
        <v>43255</v>
      </c>
      <c r="E73" s="13"/>
      <c r="F73" s="13" t="s">
        <v>767</v>
      </c>
      <c r="G73" s="13"/>
      <c r="H73" s="13"/>
      <c r="I73" s="13"/>
      <c r="J73" s="13"/>
      <c r="K73" s="13" t="s">
        <v>767</v>
      </c>
      <c r="L73" s="13"/>
      <c r="M73" s="13"/>
      <c r="N73" s="14" t="str">
        <f>HYPERLINK("mailto:mprohenski@townofgb.org","Mark Pruhenski")</f>
        <v>Mark Pruhenski</v>
      </c>
      <c r="O73" s="15" t="str">
        <f>HYPERLINK("mailto:Steven.Nattrass@fda.hhs.gov","Steven Nattrass")</f>
        <v>Steven Nattrass</v>
      </c>
    </row>
    <row r="74" spans="1:15" ht="30" x14ac:dyDescent="0.25">
      <c r="A74" s="28" t="s">
        <v>768</v>
      </c>
      <c r="B74" s="7">
        <v>39108</v>
      </c>
      <c r="C74" s="8">
        <v>1</v>
      </c>
      <c r="D74" s="7">
        <v>40402</v>
      </c>
      <c r="E74" s="8" t="s">
        <v>769</v>
      </c>
      <c r="F74" s="8"/>
      <c r="G74" s="8"/>
      <c r="H74" s="8"/>
      <c r="I74" s="8"/>
      <c r="J74" s="8"/>
      <c r="K74" s="8"/>
      <c r="L74" s="8"/>
      <c r="M74" s="8"/>
      <c r="N74" s="9" t="str">
        <f>HYPERLINK("mailto:nicolez@greenfield-ma.gov","Nicole Zabko")</f>
        <v>Nicole Zabko</v>
      </c>
      <c r="O74" s="10" t="str">
        <f>HYPERLINK("mailto:Steven.Nattrass@fda.hhs.gov","Steven Nattrass")</f>
        <v>Steven Nattrass</v>
      </c>
    </row>
    <row r="75" spans="1:15" ht="30" x14ac:dyDescent="0.25">
      <c r="A75" s="11" t="str">
        <f>HYPERLINK("http://www.townofheath.org/","Town of Heath Board of Health")</f>
        <v>Town of Heath Board of Health</v>
      </c>
      <c r="B75" s="12">
        <v>41248</v>
      </c>
      <c r="C75" s="13">
        <v>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4" t="str">
        <f>HYPERLINK("mailto:boh@townofheath.org","Rebecca Allen")</f>
        <v>Rebecca Allen</v>
      </c>
      <c r="O75" s="15" t="str">
        <f>HYPERLINK("mailto:Steven.Nattrass@fda.hhs.gov","Steven Nattrass")</f>
        <v>Steven Nattrass</v>
      </c>
    </row>
    <row r="76" spans="1:15" ht="30" x14ac:dyDescent="0.25">
      <c r="A76" s="11" t="str">
        <f>HYPERLINK("http://www.townofheath.org/","Town of Heath Board of Health")</f>
        <v>Town of Heath Board of Health</v>
      </c>
      <c r="B76" s="12">
        <v>41248</v>
      </c>
      <c r="C76" s="13">
        <v>2</v>
      </c>
      <c r="D76" s="12">
        <v>43424</v>
      </c>
      <c r="E76" s="13" t="s">
        <v>707</v>
      </c>
      <c r="F76" s="13"/>
      <c r="G76" s="13"/>
      <c r="H76" s="13"/>
      <c r="I76" s="13"/>
      <c r="J76" s="13" t="s">
        <v>707</v>
      </c>
      <c r="K76" s="13" t="s">
        <v>708</v>
      </c>
      <c r="L76" s="13"/>
      <c r="M76" s="13"/>
      <c r="N76" s="14" t="str">
        <f>HYPERLINK("mailto:rcrochier@frcog.org","Randy Crochier")</f>
        <v>Randy Crochier</v>
      </c>
      <c r="O76" s="15" t="str">
        <f>HYPERLINK("mailto:Steven.Nattrass@fda.hhs.gov","Steven Nattrass")</f>
        <v>Steven Nattrass</v>
      </c>
    </row>
    <row r="77" spans="1:15" ht="30" x14ac:dyDescent="0.25">
      <c r="A77" s="6" t="str">
        <f>HYPERLINK("http://www.townofhudson.org/Public_Documents/HudsonMA_Health/index","Town of Hudson")</f>
        <v>Town of Hudson</v>
      </c>
      <c r="B77" s="7">
        <v>42191</v>
      </c>
      <c r="C77" s="8">
        <v>1</v>
      </c>
      <c r="D77" s="8"/>
      <c r="E77" s="8"/>
      <c r="F77" s="8"/>
      <c r="G77" s="8"/>
      <c r="H77" s="8"/>
      <c r="I77" s="8"/>
      <c r="J77" s="8"/>
      <c r="K77" s="8"/>
      <c r="L77" s="8"/>
      <c r="M77" s="8"/>
      <c r="N77" s="9" t="str">
        <f>HYPERLINK("mailto:swong@townofhudson.org","Sam Wong")</f>
        <v>Sam Wong</v>
      </c>
      <c r="O77" s="10" t="str">
        <f>HYPERLINK("mailto:Steven.Nattrass@fda.hhs.gov","Steven Nattrass")</f>
        <v>Steven Nattrass</v>
      </c>
    </row>
    <row r="78" spans="1:15" ht="30" x14ac:dyDescent="0.25">
      <c r="A78" s="29" t="s">
        <v>770</v>
      </c>
      <c r="B78" s="12">
        <v>42859</v>
      </c>
      <c r="C78" s="13">
        <v>1</v>
      </c>
      <c r="D78" s="12">
        <v>42881</v>
      </c>
      <c r="E78" s="13"/>
      <c r="F78" s="13"/>
      <c r="G78" s="13"/>
      <c r="H78" s="13"/>
      <c r="I78" s="13"/>
      <c r="J78" s="13"/>
      <c r="K78" s="13"/>
      <c r="L78" s="13"/>
      <c r="M78" s="13"/>
      <c r="N78" s="14" t="str">
        <f>HYPERLINK("mailto:kmcrae@town.lynnfield.ma.us","Kristin Esposito McRae")</f>
        <v>Kristin Esposito McRae</v>
      </c>
      <c r="O78" s="15" t="str">
        <f>HYPERLINK("mailto:Steven.Nattrass@fda.hhs.gov","Steven Nattrass")</f>
        <v>Steven Nattrass</v>
      </c>
    </row>
    <row r="79" spans="1:15" ht="30" x14ac:dyDescent="0.25">
      <c r="A79" s="28" t="s">
        <v>771</v>
      </c>
      <c r="B79" s="7">
        <v>43053</v>
      </c>
      <c r="C79" s="8">
        <v>1</v>
      </c>
      <c r="D79" s="8"/>
      <c r="E79" s="8"/>
      <c r="F79" s="8"/>
      <c r="G79" s="8"/>
      <c r="H79" s="8"/>
      <c r="I79" s="8"/>
      <c r="J79" s="8"/>
      <c r="K79" s="8"/>
      <c r="L79" s="8"/>
      <c r="M79" s="8"/>
      <c r="N79" s="9" t="str">
        <f>HYPERLINK("mailto:adpalmer@mansfieldma.com","Amy Donovan-Plamer")</f>
        <v>Amy Donovan-Plamer</v>
      </c>
      <c r="O79" s="10" t="str">
        <f>HYPERLINK("mailto:Steven.Nattrass@fda.hhs.gov","Steven Nattrass")</f>
        <v>Steven Nattrass</v>
      </c>
    </row>
    <row r="80" spans="1:15" ht="30" x14ac:dyDescent="0.25">
      <c r="A80" s="11" t="str">
        <f>HYPERLINK("http://www.middletonhealth.org/","Town of Middleton")</f>
        <v>Town of Middleton</v>
      </c>
      <c r="B80" s="12">
        <v>39916</v>
      </c>
      <c r="C80" s="13">
        <v>1</v>
      </c>
      <c r="D80" s="12">
        <v>40560</v>
      </c>
      <c r="E80" s="13" t="s">
        <v>772</v>
      </c>
      <c r="F80" s="13"/>
      <c r="G80" s="13"/>
      <c r="H80" s="13"/>
      <c r="I80" s="13"/>
      <c r="J80" s="13"/>
      <c r="K80" s="13"/>
      <c r="L80" s="13"/>
      <c r="M80" s="13"/>
      <c r="N80" s="13" t="s">
        <v>773</v>
      </c>
      <c r="O80" s="15" t="str">
        <f>HYPERLINK("mailto:Steven.Nattrass@fda.hhs.gov","Steven Nattrass")</f>
        <v>Steven Nattrass</v>
      </c>
    </row>
    <row r="81" spans="1:15" ht="30" x14ac:dyDescent="0.25">
      <c r="A81" s="11" t="str">
        <f>HYPERLINK("http://www.middletonhealth.org/","Town of Middleton")</f>
        <v>Town of Middleton</v>
      </c>
      <c r="B81" s="12">
        <v>39916</v>
      </c>
      <c r="C81" s="13">
        <v>2</v>
      </c>
      <c r="D81" s="12">
        <v>42846</v>
      </c>
      <c r="E81" s="13"/>
      <c r="F81" s="13"/>
      <c r="G81" s="13"/>
      <c r="H81" s="13"/>
      <c r="I81" s="13"/>
      <c r="J81" s="13"/>
      <c r="K81" s="13"/>
      <c r="L81" s="13"/>
      <c r="M81" s="13"/>
      <c r="N81" s="13" t="s">
        <v>773</v>
      </c>
      <c r="O81" s="15" t="str">
        <f>HYPERLINK("mailto:Steven.Nattrass@fda.hhs.gov","Steven Nattrass")</f>
        <v>Steven Nattrass</v>
      </c>
    </row>
    <row r="82" spans="1:15" ht="30" x14ac:dyDescent="0.25">
      <c r="A82" s="28" t="s">
        <v>774</v>
      </c>
      <c r="B82" s="7">
        <v>40744</v>
      </c>
      <c r="C82" s="8">
        <v>1</v>
      </c>
      <c r="D82" s="7">
        <v>41061</v>
      </c>
      <c r="E82" s="8" t="s">
        <v>124</v>
      </c>
      <c r="F82" s="8"/>
      <c r="G82" s="8"/>
      <c r="H82" s="8"/>
      <c r="I82" s="8"/>
      <c r="J82" s="8"/>
      <c r="K82" s="8"/>
      <c r="L82" s="8"/>
      <c r="M82" s="8"/>
      <c r="N82" s="8" t="s">
        <v>775</v>
      </c>
      <c r="O82" s="10" t="str">
        <f>HYPERLINK("mailto:Steven.Nattrass@fda.hhs.gov","Steven Nattrass")</f>
        <v>Steven Nattrass</v>
      </c>
    </row>
    <row r="83" spans="1:15" ht="30" x14ac:dyDescent="0.25">
      <c r="A83" s="29" t="s">
        <v>776</v>
      </c>
      <c r="B83" s="12">
        <v>41338</v>
      </c>
      <c r="C83" s="13">
        <v>1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 t="s">
        <v>777</v>
      </c>
      <c r="O83" s="15" t="str">
        <f>HYPERLINK("mailto:Steven.Nattrass@fda.hhs.gov","Steven Nattrass")</f>
        <v>Steven Nattrass</v>
      </c>
    </row>
    <row r="84" spans="1:15" ht="30" x14ac:dyDescent="0.25">
      <c r="A84" s="28" t="s">
        <v>778</v>
      </c>
      <c r="B84" s="7">
        <v>42674</v>
      </c>
      <c r="C84" s="8">
        <v>1</v>
      </c>
      <c r="D84" s="7">
        <v>42832</v>
      </c>
      <c r="E84" s="8"/>
      <c r="F84" s="8"/>
      <c r="G84" s="8"/>
      <c r="H84" s="8"/>
      <c r="I84" s="8"/>
      <c r="J84" s="8"/>
      <c r="K84" s="8" t="s">
        <v>779</v>
      </c>
      <c r="L84" s="8"/>
      <c r="M84" s="8"/>
      <c r="N84" s="9" t="str">
        <f>HYPERLINK("mailto:Rsantamaria@Nantucket-ma.gov","Roberto Santamaria")</f>
        <v>Roberto Santamaria</v>
      </c>
      <c r="O84" s="10" t="str">
        <f>HYPERLINK("mailto:Steven.Nattrass@fda.hhs.gov","Steven Nattrass")</f>
        <v>Steven Nattrass</v>
      </c>
    </row>
    <row r="85" spans="1:15" ht="30" x14ac:dyDescent="0.25">
      <c r="A85" s="11" t="str">
        <f>HYPERLINK("http://www.newmarlboroughma.gov/","Town of New Marlborough")</f>
        <v>Town of New Marlborough</v>
      </c>
      <c r="B85" s="12">
        <v>41347</v>
      </c>
      <c r="C85" s="13">
        <v>1</v>
      </c>
      <c r="D85" s="12">
        <v>41444</v>
      </c>
      <c r="E85" s="13"/>
      <c r="F85" s="13"/>
      <c r="G85" s="13"/>
      <c r="H85" s="13"/>
      <c r="I85" s="13"/>
      <c r="J85" s="13"/>
      <c r="K85" s="13"/>
      <c r="L85" s="13"/>
      <c r="M85" s="13"/>
      <c r="N85" s="14" t="str">
        <f>HYPERLINK("mailto:sandra@bcboha.org","Sandra Martin")</f>
        <v>Sandra Martin</v>
      </c>
      <c r="O85" s="15" t="str">
        <f>HYPERLINK("mailto:Steven.Nattrass@fda.hhs.gov","Steven Nattrass")</f>
        <v>Steven Nattrass</v>
      </c>
    </row>
    <row r="86" spans="1:15" ht="30" x14ac:dyDescent="0.25">
      <c r="A86" s="11" t="str">
        <f>HYPERLINK("http://www.newmarlboroughma.gov/","Town of New Marlborough")</f>
        <v>Town of New Marlborough</v>
      </c>
      <c r="B86" s="12">
        <v>41347</v>
      </c>
      <c r="C86" s="13">
        <v>2</v>
      </c>
      <c r="D86" s="12">
        <v>43344</v>
      </c>
      <c r="E86" s="13"/>
      <c r="F86" s="13"/>
      <c r="G86" s="13"/>
      <c r="H86" s="13"/>
      <c r="I86" s="13"/>
      <c r="J86" s="13"/>
      <c r="K86" s="13"/>
      <c r="L86" s="13"/>
      <c r="M86" s="13"/>
      <c r="N86" s="14" t="str">
        <f>HYPERLINK("mailto:jespublichealth@gmail.com","Jayne Smith")</f>
        <v>Jayne Smith</v>
      </c>
      <c r="O86" s="15" t="str">
        <f>HYPERLINK("mailto:Steven.Nattrass@fda.hhs.gov","Steven Nattrass")</f>
        <v>Steven Nattrass</v>
      </c>
    </row>
    <row r="87" spans="1:15" ht="30" x14ac:dyDescent="0.25">
      <c r="A87" s="28" t="s">
        <v>780</v>
      </c>
      <c r="B87" s="7">
        <v>42676</v>
      </c>
      <c r="C87" s="8">
        <v>1</v>
      </c>
      <c r="D87" s="7">
        <v>42874</v>
      </c>
      <c r="E87" s="8"/>
      <c r="F87" s="8"/>
      <c r="G87" s="8"/>
      <c r="H87" s="8"/>
      <c r="I87" s="8"/>
      <c r="J87" s="8"/>
      <c r="K87" s="8"/>
      <c r="L87" s="8"/>
      <c r="M87" s="8"/>
      <c r="N87" s="9" t="str">
        <f>HYPERLINK("mailto:sreiss@norwoodma.gov","Sigalle Reiss")</f>
        <v>Sigalle Reiss</v>
      </c>
      <c r="O87" s="10" t="str">
        <f>HYPERLINK("mailto:Steven.Nattrass@fda.hhs.gov","Steven Nattrass")</f>
        <v>Steven Nattrass</v>
      </c>
    </row>
    <row r="88" spans="1:15" ht="30" x14ac:dyDescent="0.25">
      <c r="A88" s="29" t="s">
        <v>781</v>
      </c>
      <c r="B88" s="12">
        <v>43143</v>
      </c>
      <c r="C88" s="13">
        <v>1</v>
      </c>
      <c r="D88" s="12">
        <v>43220</v>
      </c>
      <c r="E88" s="13"/>
      <c r="F88" s="13"/>
      <c r="G88" s="13"/>
      <c r="H88" s="13"/>
      <c r="I88" s="13"/>
      <c r="J88" s="13"/>
      <c r="K88" s="13"/>
      <c r="L88" s="13"/>
      <c r="M88" s="13"/>
      <c r="N88" s="14" t="str">
        <f>HYPERLINK("mailto:jespublichealth@gmail.com","Jayne Smith")</f>
        <v>Jayne Smith</v>
      </c>
      <c r="O88" s="15" t="str">
        <f>HYPERLINK("mailto:Steven.Nattrass@fda.hhs.gov","Steven Nattrass")</f>
        <v>Steven Nattrass</v>
      </c>
    </row>
    <row r="89" spans="1:15" ht="30" x14ac:dyDescent="0.25">
      <c r="A89" s="28" t="s">
        <v>782</v>
      </c>
      <c r="B89" s="7">
        <v>43137</v>
      </c>
      <c r="C89" s="8">
        <v>1</v>
      </c>
      <c r="D89" s="7">
        <v>43196</v>
      </c>
      <c r="E89" s="8"/>
      <c r="F89" s="8"/>
      <c r="G89" s="8"/>
      <c r="H89" s="8"/>
      <c r="I89" s="8"/>
      <c r="J89" s="8"/>
      <c r="K89" s="8"/>
      <c r="L89" s="8"/>
      <c r="M89" s="8"/>
      <c r="N89" s="9" t="str">
        <f>HYPERLINK("mailto:jespublichealth@gmail.com","Jayne Smith")</f>
        <v>Jayne Smith</v>
      </c>
      <c r="O89" s="10" t="str">
        <f>HYPERLINK("mailto:Steven.Nattrass@fda.hhs.gov","Steven Nattrass")</f>
        <v>Steven Nattrass</v>
      </c>
    </row>
    <row r="90" spans="1:15" ht="30" x14ac:dyDescent="0.25">
      <c r="A90" s="11" t="str">
        <f>HYPERLINK("http://www.sandisfield.info/","Town of Sandisfield")</f>
        <v>Town of Sandisfield</v>
      </c>
      <c r="B90" s="12">
        <v>41232</v>
      </c>
      <c r="C90" s="13">
        <v>1</v>
      </c>
      <c r="D90" s="12">
        <v>41444</v>
      </c>
      <c r="E90" s="13"/>
      <c r="F90" s="13"/>
      <c r="G90" s="13"/>
      <c r="H90" s="13"/>
      <c r="I90" s="13"/>
      <c r="J90" s="13"/>
      <c r="K90" s="13"/>
      <c r="L90" s="13"/>
      <c r="M90" s="13"/>
      <c r="N90" s="14" t="str">
        <f>HYPERLINK("mailto:sandisfieldboh@verizon.net","Kathleen Sergin")</f>
        <v>Kathleen Sergin</v>
      </c>
      <c r="O90" s="15" t="str">
        <f>HYPERLINK("mailto:Steven.Nattrass@fda.hhs.gov","Steven Nattrass")</f>
        <v>Steven Nattrass</v>
      </c>
    </row>
    <row r="91" spans="1:15" ht="30" x14ac:dyDescent="0.25">
      <c r="A91" s="6" t="str">
        <f>HYPERLINK("http://www.topsfield-ma.gov/","Town of Topsfield")</f>
        <v>Town of Topsfield</v>
      </c>
      <c r="B91" s="7">
        <v>40611</v>
      </c>
      <c r="C91" s="8">
        <v>1</v>
      </c>
      <c r="D91" s="7">
        <v>41913</v>
      </c>
      <c r="E91" s="8"/>
      <c r="F91" s="8"/>
      <c r="G91" s="8"/>
      <c r="H91" s="8"/>
      <c r="I91" s="8"/>
      <c r="J91" s="8"/>
      <c r="K91" s="8"/>
      <c r="L91" s="8"/>
      <c r="M91" s="8"/>
      <c r="N91" s="8" t="s">
        <v>777</v>
      </c>
      <c r="O91" s="10" t="str">
        <f>HYPERLINK("mailto:Steven.Nattrass@fda.hhs.gov","Steven Nattrass")</f>
        <v>Steven Nattrass</v>
      </c>
    </row>
    <row r="92" spans="1:15" ht="30" x14ac:dyDescent="0.25">
      <c r="A92" s="6" t="str">
        <f>HYPERLINK("http://www.topsfield-ma.gov/","Town of Topsfield")</f>
        <v>Town of Topsfield</v>
      </c>
      <c r="B92" s="7">
        <v>40611</v>
      </c>
      <c r="C92" s="8">
        <v>2</v>
      </c>
      <c r="D92" s="7">
        <v>42270</v>
      </c>
      <c r="E92" s="8"/>
      <c r="F92" s="8"/>
      <c r="G92" s="8"/>
      <c r="H92" s="8"/>
      <c r="I92" s="8" t="s">
        <v>783</v>
      </c>
      <c r="J92" s="8"/>
      <c r="K92" s="8" t="s">
        <v>783</v>
      </c>
      <c r="L92" s="8"/>
      <c r="M92" s="8"/>
      <c r="N92" s="8" t="s">
        <v>777</v>
      </c>
      <c r="O92" s="10" t="str">
        <f>HYPERLINK("mailto:Steven.Nattrass@fda.hhs.gov","Steven Nattrass")</f>
        <v>Steven Nattrass</v>
      </c>
    </row>
    <row r="93" spans="1:15" ht="30" x14ac:dyDescent="0.25">
      <c r="A93" s="11" t="str">
        <f>HYPERLINK("http://www.townofwakefield.ma.us/","Town of Wakefield")</f>
        <v>Town of Wakefield</v>
      </c>
      <c r="B93" s="12">
        <v>42081</v>
      </c>
      <c r="C93" s="13">
        <v>1</v>
      </c>
      <c r="D93" s="12">
        <v>42179</v>
      </c>
      <c r="E93" s="13" t="s">
        <v>784</v>
      </c>
      <c r="F93" s="13"/>
      <c r="G93" s="13" t="s">
        <v>784</v>
      </c>
      <c r="H93" s="13"/>
      <c r="I93" s="13" t="s">
        <v>784</v>
      </c>
      <c r="J93" s="13"/>
      <c r="K93" s="13" t="s">
        <v>784</v>
      </c>
      <c r="L93" s="13"/>
      <c r="M93" s="13" t="s">
        <v>785</v>
      </c>
      <c r="N93" s="14" t="str">
        <f>HYPERLINK("mailto:rclay@cityofmelrose.org","Ruth L. Clay")</f>
        <v>Ruth L. Clay</v>
      </c>
      <c r="O93" s="15" t="str">
        <f>HYPERLINK("mailto:Steven.Nattrass@fda.hhs.gov","Steven Nattrass")</f>
        <v>Steven Nattrass</v>
      </c>
    </row>
    <row r="94" spans="1:15" ht="30" x14ac:dyDescent="0.25">
      <c r="A94" s="28" t="s">
        <v>786</v>
      </c>
      <c r="B94" s="7">
        <v>42991</v>
      </c>
      <c r="C94" s="8">
        <v>1</v>
      </c>
      <c r="D94" s="7">
        <v>42991</v>
      </c>
      <c r="E94" s="8"/>
      <c r="F94" s="8"/>
      <c r="G94" s="8"/>
      <c r="H94" s="8"/>
      <c r="I94" s="8"/>
      <c r="J94" s="8"/>
      <c r="K94" s="8"/>
      <c r="L94" s="8"/>
      <c r="M94" s="8"/>
      <c r="N94" s="9" t="str">
        <f>HYPERLINK("mailto:rchapell@walpole-ma.gov","Robin Chapell")</f>
        <v>Robin Chapell</v>
      </c>
      <c r="O94" s="10" t="str">
        <f>HYPERLINK("mailto:Steven.Nattrass@fda.hhs.gov","Steven Nattrass")</f>
        <v>Steven Nattrass</v>
      </c>
    </row>
    <row r="95" spans="1:15" ht="30" x14ac:dyDescent="0.25">
      <c r="A95" s="11" t="str">
        <f>HYPERLINK("http://www.washington-ma.com/","Town of Washington")</f>
        <v>Town of Washington</v>
      </c>
      <c r="B95" s="12">
        <v>41347</v>
      </c>
      <c r="C95" s="13">
        <v>1</v>
      </c>
      <c r="D95" s="12">
        <v>41439</v>
      </c>
      <c r="E95" s="13"/>
      <c r="F95" s="13"/>
      <c r="G95" s="13"/>
      <c r="H95" s="13"/>
      <c r="I95" s="13"/>
      <c r="J95" s="13"/>
      <c r="K95" s="13"/>
      <c r="L95" s="13"/>
      <c r="M95" s="13"/>
      <c r="N95" s="13" t="s">
        <v>775</v>
      </c>
      <c r="O95" s="15" t="str">
        <f>HYPERLINK("mailto:Steven.Nattrass@fda.hhs.gov","Steven Nattrass")</f>
        <v>Steven Nattrass</v>
      </c>
    </row>
    <row r="96" spans="1:15" ht="30" x14ac:dyDescent="0.25">
      <c r="A96" s="11" t="str">
        <f>HYPERLINK("http://www.washington-ma.com/","Town of Washington")</f>
        <v>Town of Washington</v>
      </c>
      <c r="B96" s="12">
        <v>41347</v>
      </c>
      <c r="C96" s="13">
        <v>2</v>
      </c>
      <c r="D96" s="12">
        <v>43252</v>
      </c>
      <c r="E96" s="13"/>
      <c r="F96" s="13" t="s">
        <v>787</v>
      </c>
      <c r="G96" s="13"/>
      <c r="H96" s="13"/>
      <c r="I96" s="13"/>
      <c r="J96" s="13"/>
      <c r="K96" s="13"/>
      <c r="L96" s="13"/>
      <c r="M96" s="13"/>
      <c r="N96" s="14" t="str">
        <f>HYPERLINK("mailto:jespublichealth@gmail.com","Jayne Smith")</f>
        <v>Jayne Smith</v>
      </c>
      <c r="O96" s="15" t="str">
        <f>HYPERLINK("mailto:Steven.Nattrass@fda.hhs.gov","Steven Nattrass")</f>
        <v>Steven Nattrass</v>
      </c>
    </row>
    <row r="97" spans="1:15" ht="30" x14ac:dyDescent="0.25">
      <c r="A97" s="28" t="s">
        <v>788</v>
      </c>
      <c r="B97" s="7">
        <v>42962</v>
      </c>
      <c r="C97" s="8">
        <v>1</v>
      </c>
      <c r="D97" s="7">
        <v>42962</v>
      </c>
      <c r="E97" s="8"/>
      <c r="F97" s="8"/>
      <c r="G97" s="8"/>
      <c r="H97" s="8"/>
      <c r="I97" s="8"/>
      <c r="J97" s="8"/>
      <c r="K97" s="8"/>
      <c r="L97" s="8"/>
      <c r="M97" s="8"/>
      <c r="N97" s="9" t="str">
        <f>HYPERLINK("mailto:lizzo@wellesleyma.gov","Leonard Izzo")</f>
        <v>Leonard Izzo</v>
      </c>
      <c r="O97" s="10" t="str">
        <f>HYPERLINK("mailto:Steven.Nattrass@fda.hhs.gov","Steven Nattrass")</f>
        <v>Steven Nattrass</v>
      </c>
    </row>
    <row r="98" spans="1:15" ht="30" x14ac:dyDescent="0.25">
      <c r="A98" s="29" t="s">
        <v>789</v>
      </c>
      <c r="B98" s="12">
        <v>42752</v>
      </c>
      <c r="C98" s="13">
        <v>1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4" t="str">
        <f>HYPERLINK("mailto:Hillary.lemos@wellfleet-ma.gov","Hillary Greenberg-Lemos")</f>
        <v>Hillary Greenberg-Lemos</v>
      </c>
      <c r="O98" s="15" t="str">
        <f>HYPERLINK("mailto:Steven.Nattrass@fda.hhs.gov","Steven Nattrass")</f>
        <v>Steven Nattrass</v>
      </c>
    </row>
    <row r="99" spans="1:15" ht="30" x14ac:dyDescent="0.25">
      <c r="A99" s="28" t="s">
        <v>790</v>
      </c>
      <c r="B99" s="7">
        <v>39129</v>
      </c>
      <c r="C99" s="8">
        <v>1</v>
      </c>
      <c r="D99" s="7">
        <v>39454</v>
      </c>
      <c r="E99" s="8" t="s">
        <v>791</v>
      </c>
      <c r="F99" s="8"/>
      <c r="G99" s="8"/>
      <c r="H99" s="8"/>
      <c r="I99" s="8"/>
      <c r="J99" s="8"/>
      <c r="K99" s="8" t="s">
        <v>791</v>
      </c>
      <c r="L99" s="8"/>
      <c r="M99" s="8"/>
      <c r="N99" s="8" t="s">
        <v>792</v>
      </c>
      <c r="O99" s="10" t="str">
        <f>HYPERLINK("mailto:Steven.Nattrass@fda.hhs.gov","Steven Nattrass")</f>
        <v>Steven Nattrass</v>
      </c>
    </row>
    <row r="100" spans="1:15" ht="30" x14ac:dyDescent="0.25">
      <c r="A100" s="11" t="str">
        <f>HYPERLINK("http://www.westfordma.gov/","Town of Westford")</f>
        <v>Town of Westford</v>
      </c>
      <c r="B100" s="12">
        <v>41092</v>
      </c>
      <c r="C100" s="13">
        <v>1</v>
      </c>
      <c r="D100" s="12">
        <v>41456</v>
      </c>
      <c r="E100" s="13"/>
      <c r="F100" s="13"/>
      <c r="G100" s="13" t="s">
        <v>793</v>
      </c>
      <c r="H100" s="13"/>
      <c r="I100" s="13"/>
      <c r="J100" s="13"/>
      <c r="K100" s="13" t="s">
        <v>794</v>
      </c>
      <c r="L100" s="13"/>
      <c r="M100" s="13"/>
      <c r="N100" s="13" t="s">
        <v>795</v>
      </c>
      <c r="O100" s="15" t="str">
        <f>HYPERLINK("mailto:Steven.Nattrass@fda.hhs.gov","Steven Nattrass")</f>
        <v>Steven Nattrass</v>
      </c>
    </row>
    <row r="101" spans="1:15" ht="30" x14ac:dyDescent="0.25">
      <c r="A101" s="28" t="s">
        <v>796</v>
      </c>
      <c r="B101" s="7">
        <v>42940</v>
      </c>
      <c r="C101" s="8">
        <v>1</v>
      </c>
      <c r="D101" s="7">
        <v>42940</v>
      </c>
      <c r="E101" s="8"/>
      <c r="F101" s="8"/>
      <c r="G101" s="8"/>
      <c r="H101" s="8"/>
      <c r="I101" s="8"/>
      <c r="J101" s="8"/>
      <c r="K101" s="8"/>
      <c r="L101" s="8"/>
      <c r="M101" s="8"/>
      <c r="N101" s="9" t="str">
        <f>HYPERLINK("mailto:lshea@townhall.westwood.ma.us","Linda R. Shea")</f>
        <v>Linda R. Shea</v>
      </c>
      <c r="O101" s="10" t="str">
        <f>HYPERLINK("mailto:Steven.Nattrass@fda.hhs.gov","Steven Nattrass")</f>
        <v>Steven Nattrass</v>
      </c>
    </row>
    <row r="102" spans="1:15" ht="30" x14ac:dyDescent="0.25">
      <c r="A102" s="11" t="str">
        <f>HYPERLINK("http://www.williamstown..ws/","Town of Williamstown")</f>
        <v>Town of Williamstown</v>
      </c>
      <c r="B102" s="12">
        <v>41897</v>
      </c>
      <c r="C102" s="13">
        <v>1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4" t="str">
        <f>HYPERLINK("mailto:JKennedy@williamstown.net","Jeffery Kennedy")</f>
        <v>Jeffery Kennedy</v>
      </c>
      <c r="O102" s="15" t="str">
        <f>HYPERLINK("mailto:Steven.Nattrass@fda.hhs.gov","Steven Nattrass")</f>
        <v>Steven Nattrass</v>
      </c>
    </row>
    <row r="103" spans="1:15" ht="30" x14ac:dyDescent="0.25">
      <c r="A103" s="28" t="s">
        <v>797</v>
      </c>
      <c r="B103" s="7">
        <v>43171</v>
      </c>
      <c r="C103" s="8">
        <v>1</v>
      </c>
      <c r="D103" s="7">
        <v>43178</v>
      </c>
      <c r="E103" s="8"/>
      <c r="F103" s="8"/>
      <c r="G103" s="8"/>
      <c r="H103" s="8"/>
      <c r="I103" s="8"/>
      <c r="J103" s="8"/>
      <c r="K103" s="8"/>
      <c r="L103" s="8"/>
      <c r="M103" s="8"/>
      <c r="N103" s="9" t="str">
        <f>HYPERLINK("mailto:jespublichealth@gmail.com","Jayne Smith")</f>
        <v>Jayne Smith</v>
      </c>
      <c r="O103" s="10" t="str">
        <f>HYPERLINK("mailto:Steven.Nattrass@fda.hhs.gov","Steven Nattrass")</f>
        <v>Steven Nattrass</v>
      </c>
    </row>
    <row r="104" spans="1:15" ht="30" x14ac:dyDescent="0.25">
      <c r="A104" s="29" t="s">
        <v>798</v>
      </c>
      <c r="B104" s="12">
        <v>42964</v>
      </c>
      <c r="C104" s="13">
        <v>1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4" t="str">
        <f>HYPERLINK("mailto:koun@tyngsboroughma.gov","Kerri C. Oun")</f>
        <v>Kerri C. Oun</v>
      </c>
      <c r="O104" s="15" t="str">
        <f>HYPERLINK("mailto:Steven.Nattrass@fda.hhs.gov","Steven Nattrass")</f>
        <v>Steven Nattrass</v>
      </c>
    </row>
    <row r="105" spans="1:15" ht="30" x14ac:dyDescent="0.25">
      <c r="A105" s="6" t="str">
        <f>HYPERLINK("http://www.ehs.umass.edu/","University of Massachusetts / Amherst")</f>
        <v>University of Massachusetts / Amherst</v>
      </c>
      <c r="B105" s="7">
        <v>40946</v>
      </c>
      <c r="C105" s="8">
        <v>1</v>
      </c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 t="s">
        <v>799</v>
      </c>
      <c r="O105" s="10" t="str">
        <f>HYPERLINK("mailto:Steven.Nattrass@fda.hhs.gov","Steven Nattrass")</f>
        <v>Steven Nattrass</v>
      </c>
    </row>
    <row r="106" spans="1:15" ht="30" x14ac:dyDescent="0.25">
      <c r="A106" s="29" t="s">
        <v>800</v>
      </c>
      <c r="B106" s="12">
        <v>42835</v>
      </c>
      <c r="C106" s="13">
        <v>1</v>
      </c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4" t="str">
        <f>HYPERLINK("mailto:boh@wilmingtonma.gov","Shelly Newhouse")</f>
        <v>Shelly Newhouse</v>
      </c>
      <c r="O106" s="15" t="str">
        <f>HYPERLINK("mailto:Steven.Nattrass@fda.hhs.gov","Steven Nattrass")</f>
        <v>Steven Nattrass</v>
      </c>
    </row>
    <row r="107" spans="1:15" ht="30" x14ac:dyDescent="0.25">
      <c r="A107" s="16" t="str">
        <f>HYPERLINK("www.winchester.us","Winchester Health Department")</f>
        <v>Winchester Health Department</v>
      </c>
      <c r="B107" s="17">
        <v>42306</v>
      </c>
      <c r="C107" s="18">
        <v>1</v>
      </c>
      <c r="D107" s="17">
        <v>42374</v>
      </c>
      <c r="E107" s="18" t="s">
        <v>801</v>
      </c>
      <c r="F107" s="18"/>
      <c r="G107" s="18"/>
      <c r="H107" s="18"/>
      <c r="I107" s="18" t="s">
        <v>802</v>
      </c>
      <c r="J107" s="18"/>
      <c r="K107" s="18" t="s">
        <v>803</v>
      </c>
      <c r="L107" s="18"/>
      <c r="M107" s="18" t="s">
        <v>804</v>
      </c>
      <c r="N107" s="19" t="str">
        <f>HYPERLINK("mailto:jenmurphy@winchester.us","Jennifer Murphy")</f>
        <v>Jennifer Murphy</v>
      </c>
      <c r="O107" s="20" t="str">
        <f>HYPERLINK("mailto:Steven.Nattrass@fda.hhs.gov","Steven Nattrass")</f>
        <v>Steven Nattrass</v>
      </c>
    </row>
  </sheetData>
  <pageMargins left="0.15" right="0.15" top="0.25" bottom="0.25" header="0.05" footer="0.05"/>
  <pageSetup orientation="landscape" r:id="rId1"/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4CEF4-55FE-405B-8F27-1609A1F76DE1}">
  <sheetPr>
    <pageSetUpPr fitToPage="1"/>
  </sheetPr>
  <dimension ref="A1:O46"/>
  <sheetViews>
    <sheetView workbookViewId="0"/>
  </sheetViews>
  <sheetFormatPr defaultRowHeight="15" x14ac:dyDescent="0.25"/>
  <cols>
    <col min="1" max="1" width="33.7109375" customWidth="1"/>
    <col min="2" max="2" width="14.85546875" customWidth="1"/>
    <col min="3" max="3" width="18.42578125" customWidth="1"/>
    <col min="4" max="4" width="22" customWidth="1"/>
    <col min="5" max="13" width="17.28515625" customWidth="1"/>
    <col min="14" max="14" width="14.85546875" customWidth="1"/>
    <col min="15" max="15" width="13.140625" customWidth="1"/>
  </cols>
  <sheetData>
    <row r="1" spans="1:15" x14ac:dyDescent="0.25">
      <c r="A1" t="s">
        <v>888</v>
      </c>
      <c r="B1" s="2" t="str">
        <f>HYPERLINK("#Introduction!A1","Back to Introduction Page")</f>
        <v>Back to Introduction Page</v>
      </c>
    </row>
    <row r="2" spans="1:15" x14ac:dyDescent="0.25">
      <c r="A2" s="21" t="s">
        <v>889</v>
      </c>
    </row>
    <row r="3" spans="1:15" ht="45" x14ac:dyDescent="0.25">
      <c r="A3" s="4" t="s">
        <v>15</v>
      </c>
      <c r="B3" s="3" t="s">
        <v>16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21</v>
      </c>
      <c r="H3" s="3" t="s">
        <v>22</v>
      </c>
      <c r="I3" s="3" t="s">
        <v>23</v>
      </c>
      <c r="J3" s="3" t="s">
        <v>24</v>
      </c>
      <c r="K3" s="3" t="s">
        <v>25</v>
      </c>
      <c r="L3" s="3" t="s">
        <v>26</v>
      </c>
      <c r="M3" s="3" t="s">
        <v>27</v>
      </c>
      <c r="N3" s="3" t="s">
        <v>28</v>
      </c>
      <c r="O3" s="5" t="s">
        <v>29</v>
      </c>
    </row>
    <row r="4" spans="1:15" ht="30" x14ac:dyDescent="0.25">
      <c r="A4" s="28" t="s">
        <v>807</v>
      </c>
      <c r="B4" s="7">
        <v>40998</v>
      </c>
      <c r="C4" s="8">
        <v>1</v>
      </c>
      <c r="D4" s="7">
        <v>40998</v>
      </c>
      <c r="E4" s="8" t="s">
        <v>808</v>
      </c>
      <c r="F4" s="8"/>
      <c r="G4" s="8"/>
      <c r="H4" s="8"/>
      <c r="I4" s="8"/>
      <c r="J4" s="8"/>
      <c r="K4" s="8"/>
      <c r="L4" s="8"/>
      <c r="M4" s="8"/>
      <c r="N4" s="8" t="s">
        <v>809</v>
      </c>
      <c r="O4" s="10" t="str">
        <f>HYPERLINK("mailto:Tracynda.Davis@fda.hhs.gov","Tracynda Davis")</f>
        <v>Tracynda Davis</v>
      </c>
    </row>
    <row r="5" spans="1:15" ht="30" x14ac:dyDescent="0.25">
      <c r="A5" s="29" t="s">
        <v>810</v>
      </c>
      <c r="B5" s="12">
        <v>40582</v>
      </c>
      <c r="C5" s="13">
        <v>1</v>
      </c>
      <c r="D5" s="12">
        <v>40582</v>
      </c>
      <c r="E5" s="13" t="s">
        <v>811</v>
      </c>
      <c r="F5" s="13"/>
      <c r="G5" s="13"/>
      <c r="H5" s="13"/>
      <c r="I5" s="13"/>
      <c r="J5" s="13"/>
      <c r="K5" s="13" t="s">
        <v>811</v>
      </c>
      <c r="L5" s="13"/>
      <c r="M5" s="13"/>
      <c r="N5" s="14" t="str">
        <f>HYPERLINK("mailto:jfrazier@bhsj.org","Joe Frazier")</f>
        <v>Joe Frazier</v>
      </c>
      <c r="O5" s="15" t="str">
        <f>HYPERLINK("mailto:Tracynda.Davis@fda.hhs.gov","Tracynda Davis")</f>
        <v>Tracynda Davis</v>
      </c>
    </row>
    <row r="6" spans="1:15" ht="30" x14ac:dyDescent="0.25">
      <c r="A6" s="29" t="s">
        <v>810</v>
      </c>
      <c r="B6" s="12">
        <v>40582</v>
      </c>
      <c r="C6" s="13">
        <v>2</v>
      </c>
      <c r="D6" s="12">
        <v>41639</v>
      </c>
      <c r="E6" s="13" t="s">
        <v>812</v>
      </c>
      <c r="F6" s="13"/>
      <c r="G6" s="13"/>
      <c r="H6" s="13"/>
      <c r="I6" s="13"/>
      <c r="J6" s="13"/>
      <c r="K6" s="13" t="s">
        <v>813</v>
      </c>
      <c r="L6" s="13"/>
      <c r="M6" s="13"/>
      <c r="N6" s="14" t="str">
        <f>HYPERLINK("mailto:jfrazier@bhsj.org","Joe Frazier")</f>
        <v>Joe Frazier</v>
      </c>
      <c r="O6" s="15" t="str">
        <f>HYPERLINK("mailto:Tracynda.Davis@fda.hhs.gov","Tracynda Davis")</f>
        <v>Tracynda Davis</v>
      </c>
    </row>
    <row r="7" spans="1:15" ht="30" x14ac:dyDescent="0.25">
      <c r="A7" s="6" t="str">
        <f>HYPERLINK("http://rtn.darton.edu/phirn/districts/calhoun/-calhoun.htm","Calhoun County Public Health Department")</f>
        <v>Calhoun County Public Health Department</v>
      </c>
      <c r="B7" s="7">
        <v>39510</v>
      </c>
      <c r="C7" s="8">
        <v>1</v>
      </c>
      <c r="D7" s="7">
        <v>39510</v>
      </c>
      <c r="E7" s="8" t="s">
        <v>814</v>
      </c>
      <c r="F7" s="8"/>
      <c r="G7" s="8"/>
      <c r="H7" s="8"/>
      <c r="I7" s="8"/>
      <c r="J7" s="8"/>
      <c r="K7" s="8"/>
      <c r="L7" s="8"/>
      <c r="M7" s="8"/>
      <c r="N7" s="9" t="str">
        <f>HYPERLINK("mailto:ssettles@calhouncounty.mi.gov","Shanay Settles")</f>
        <v>Shanay Settles</v>
      </c>
      <c r="O7" s="10" t="str">
        <f>HYPERLINK("mailto:Tracynda.Davis@fda.hhs.gov","Tracynda Davis")</f>
        <v>Tracynda Davis</v>
      </c>
    </row>
    <row r="8" spans="1:15" ht="30" x14ac:dyDescent="0.25">
      <c r="A8" s="6" t="str">
        <f>HYPERLINK("http://rtn.darton.edu/phirn/districts/calhoun/-calhoun.htm","Calhoun County Public Health Department")</f>
        <v>Calhoun County Public Health Department</v>
      </c>
      <c r="B8" s="7">
        <v>39510</v>
      </c>
      <c r="C8" s="8">
        <v>2</v>
      </c>
      <c r="D8" s="7">
        <v>40237</v>
      </c>
      <c r="E8" s="8" t="s">
        <v>815</v>
      </c>
      <c r="F8" s="8"/>
      <c r="G8" s="8"/>
      <c r="H8" s="8"/>
      <c r="I8" s="8"/>
      <c r="J8" s="8"/>
      <c r="K8" s="8"/>
      <c r="L8" s="8"/>
      <c r="M8" s="8"/>
      <c r="N8" s="9" t="str">
        <f>HYPERLINK("mailto:ssettles@calhouncounty.mi.gov","Shanay Settles")</f>
        <v>Shanay Settles</v>
      </c>
      <c r="O8" s="10" t="str">
        <f>HYPERLINK("mailto:Tracynda.Davis@fda.hhs.gov","Tracynda Davis")</f>
        <v>Tracynda Davis</v>
      </c>
    </row>
    <row r="9" spans="1:15" ht="30" x14ac:dyDescent="0.25">
      <c r="A9" s="6" t="str">
        <f>HYPERLINK("http://rtn.darton.edu/phirn/districts/calhoun/-calhoun.htm","Calhoun County Public Health Department")</f>
        <v>Calhoun County Public Health Department</v>
      </c>
      <c r="B9" s="7">
        <v>39510</v>
      </c>
      <c r="C9" s="8">
        <v>3</v>
      </c>
      <c r="D9" s="7">
        <v>41333</v>
      </c>
      <c r="E9" s="8" t="s">
        <v>816</v>
      </c>
      <c r="F9" s="8"/>
      <c r="G9" s="8"/>
      <c r="H9" s="8"/>
      <c r="I9" s="8"/>
      <c r="J9" s="8"/>
      <c r="K9" s="8"/>
      <c r="L9" s="8"/>
      <c r="M9" s="8"/>
      <c r="N9" s="9" t="str">
        <f>HYPERLINK("mailto:ssettles@calhouncounty.mi.gov","Shanay Settles")</f>
        <v>Shanay Settles</v>
      </c>
      <c r="O9" s="10" t="str">
        <f>HYPERLINK("mailto:Tracynda.Davis@fda.hhs.gov","Tracynda Davis")</f>
        <v>Tracynda Davis</v>
      </c>
    </row>
    <row r="10" spans="1:15" ht="30" x14ac:dyDescent="0.25">
      <c r="A10" s="6" t="str">
        <f>HYPERLINK("http://rtn.darton.edu/phirn/districts/calhoun/-calhoun.htm","Calhoun County Public Health Department")</f>
        <v>Calhoun County Public Health Department</v>
      </c>
      <c r="B10" s="7">
        <v>39510</v>
      </c>
      <c r="C10" s="8">
        <v>4</v>
      </c>
      <c r="D10" s="7">
        <v>42816</v>
      </c>
      <c r="E10" s="8"/>
      <c r="F10" s="8" t="s">
        <v>817</v>
      </c>
      <c r="G10" s="8"/>
      <c r="H10" s="8"/>
      <c r="I10" s="8"/>
      <c r="J10" s="8"/>
      <c r="K10" s="8"/>
      <c r="L10" s="8"/>
      <c r="M10" s="8"/>
      <c r="N10" s="9" t="str">
        <f>HYPERLINK("mailto:ssettles@calhouncounty.mi.gov","Shanay Settles")</f>
        <v>Shanay Settles</v>
      </c>
      <c r="O10" s="10" t="str">
        <f>HYPERLINK("mailto:Tracynda.Davis@fda.hhs.gov","Tracynda Davis")</f>
        <v>Tracynda Davis</v>
      </c>
    </row>
    <row r="11" spans="1:15" ht="30" x14ac:dyDescent="0.25">
      <c r="A11" s="11" t="str">
        <f>HYPERLINK("http://www.chippewahd.com/","Chippewa County Health Department")</f>
        <v>Chippewa County Health Department</v>
      </c>
      <c r="B11" s="12">
        <v>40379</v>
      </c>
      <c r="C11" s="13">
        <v>1</v>
      </c>
      <c r="D11" s="12">
        <v>40379</v>
      </c>
      <c r="E11" s="13" t="s">
        <v>818</v>
      </c>
      <c r="F11" s="13"/>
      <c r="G11" s="13"/>
      <c r="H11" s="13"/>
      <c r="I11" s="13"/>
      <c r="J11" s="13"/>
      <c r="K11" s="13"/>
      <c r="L11" s="13"/>
      <c r="M11" s="13"/>
      <c r="N11" s="14" t="str">
        <f>HYPERLINK("mailto:cdaley@chippewahd.com","Christine Daley")</f>
        <v>Christine Daley</v>
      </c>
      <c r="O11" s="15" t="str">
        <f>HYPERLINK("mailto:Tracynda.Davis@fda.hhs.gov","Tracynda Davis")</f>
        <v>Tracynda Davis</v>
      </c>
    </row>
    <row r="12" spans="1:15" ht="30" x14ac:dyDescent="0.25">
      <c r="A12" s="11" t="str">
        <f>HYPERLINK("http://www.chippewahd.com/","Chippewa County Health Department")</f>
        <v>Chippewa County Health Department</v>
      </c>
      <c r="B12" s="12">
        <v>40379</v>
      </c>
      <c r="C12" s="13">
        <v>2</v>
      </c>
      <c r="D12" s="12">
        <v>42027</v>
      </c>
      <c r="E12" s="13" t="s">
        <v>819</v>
      </c>
      <c r="F12" s="13"/>
      <c r="G12" s="13"/>
      <c r="H12" s="13"/>
      <c r="I12" s="13"/>
      <c r="J12" s="13"/>
      <c r="K12" s="13"/>
      <c r="L12" s="13"/>
      <c r="M12" s="13"/>
      <c r="N12" s="14" t="str">
        <f>HYPERLINK("mailto:jameskoehler@co.chippewa.wi.us","James Koehler")</f>
        <v>James Koehler</v>
      </c>
      <c r="O12" s="15" t="str">
        <f>HYPERLINK("mailto:Tracynda.Davis@fda.hhs.gov","Tracynda Davis")</f>
        <v>Tracynda Davis</v>
      </c>
    </row>
    <row r="13" spans="1:15" ht="30" x14ac:dyDescent="0.25">
      <c r="A13" s="28" t="s">
        <v>820</v>
      </c>
      <c r="B13" s="7">
        <v>40322</v>
      </c>
      <c r="C13" s="8">
        <v>1</v>
      </c>
      <c r="D13" s="7">
        <v>40322</v>
      </c>
      <c r="E13" s="8" t="s">
        <v>821</v>
      </c>
      <c r="F13" s="8"/>
      <c r="G13" s="8"/>
      <c r="H13" s="8"/>
      <c r="I13" s="8"/>
      <c r="J13" s="8"/>
      <c r="K13" s="8"/>
      <c r="L13" s="8"/>
      <c r="M13" s="8"/>
      <c r="N13" s="8" t="s">
        <v>822</v>
      </c>
      <c r="O13" s="10" t="str">
        <f>HYPERLINK("mailto:Tracynda.Davis@fda.hhs.gov","Tracynda Davis")</f>
        <v>Tracynda Davis</v>
      </c>
    </row>
    <row r="14" spans="1:15" ht="30" x14ac:dyDescent="0.25">
      <c r="A14" s="28" t="s">
        <v>820</v>
      </c>
      <c r="B14" s="7">
        <v>40322</v>
      </c>
      <c r="C14" s="8">
        <v>2</v>
      </c>
      <c r="D14" s="7">
        <v>40977</v>
      </c>
      <c r="E14" s="8" t="s">
        <v>823</v>
      </c>
      <c r="F14" s="8"/>
      <c r="G14" s="8"/>
      <c r="H14" s="8"/>
      <c r="I14" s="8"/>
      <c r="J14" s="8"/>
      <c r="K14" s="8"/>
      <c r="L14" s="8"/>
      <c r="M14" s="8"/>
      <c r="N14" s="8" t="s">
        <v>822</v>
      </c>
      <c r="O14" s="10" t="str">
        <f>HYPERLINK("mailto:Tracynda.Davis@fda.hhs.gov","Tracynda Davis")</f>
        <v>Tracynda Davis</v>
      </c>
    </row>
    <row r="15" spans="1:15" ht="30" x14ac:dyDescent="0.25">
      <c r="A15" s="28" t="s">
        <v>820</v>
      </c>
      <c r="B15" s="7">
        <v>40322</v>
      </c>
      <c r="C15" s="8">
        <v>3</v>
      </c>
      <c r="D15" s="7">
        <v>41906</v>
      </c>
      <c r="E15" s="8" t="s">
        <v>824</v>
      </c>
      <c r="F15" s="8"/>
      <c r="G15" s="8"/>
      <c r="H15" s="8"/>
      <c r="I15" s="8"/>
      <c r="J15" s="8"/>
      <c r="K15" s="8" t="s">
        <v>825</v>
      </c>
      <c r="L15" s="8"/>
      <c r="M15" s="8"/>
      <c r="N15" s="8" t="s">
        <v>822</v>
      </c>
      <c r="O15" s="10" t="str">
        <f>HYPERLINK("mailto:Tracynda.Davis@fda.hhs.gov","Tracynda Davis")</f>
        <v>Tracynda Davis</v>
      </c>
    </row>
    <row r="16" spans="1:15" ht="30" x14ac:dyDescent="0.25">
      <c r="A16" s="29" t="s">
        <v>826</v>
      </c>
      <c r="B16" s="12">
        <v>42646</v>
      </c>
      <c r="C16" s="13">
        <v>1</v>
      </c>
      <c r="D16" s="12">
        <v>42832</v>
      </c>
      <c r="E16" s="13" t="s">
        <v>827</v>
      </c>
      <c r="F16" s="13" t="s">
        <v>828</v>
      </c>
      <c r="G16" s="13"/>
      <c r="H16" s="13"/>
      <c r="I16" s="13"/>
      <c r="J16" s="13"/>
      <c r="K16" s="13"/>
      <c r="L16" s="13"/>
      <c r="M16" s="13"/>
      <c r="N16" s="14" t="str">
        <f>HYPERLINK("mailto:S.Kendzierski@nwhealth.org","Scott Kendzierski")</f>
        <v>Scott Kendzierski</v>
      </c>
      <c r="O16" s="15" t="str">
        <f>HYPERLINK("mailto:Tracynda.Davis@fda.hhs.gov","Tracynda Davis")</f>
        <v>Tracynda Davis</v>
      </c>
    </row>
    <row r="17" spans="1:15" ht="30" x14ac:dyDescent="0.25">
      <c r="A17" s="28" t="s">
        <v>829</v>
      </c>
      <c r="B17" s="7">
        <v>39489</v>
      </c>
      <c r="C17" s="8">
        <v>1</v>
      </c>
      <c r="D17" s="7">
        <v>39489</v>
      </c>
      <c r="E17" s="8" t="s">
        <v>830</v>
      </c>
      <c r="F17" s="8"/>
      <c r="G17" s="8"/>
      <c r="H17" s="8"/>
      <c r="I17" s="8" t="s">
        <v>831</v>
      </c>
      <c r="J17" s="8"/>
      <c r="K17" s="8" t="s">
        <v>830</v>
      </c>
      <c r="L17" s="8"/>
      <c r="M17" s="8"/>
      <c r="N17" s="8" t="s">
        <v>832</v>
      </c>
      <c r="O17" s="10" t="str">
        <f>HYPERLINK("mailto:Tracynda.Davis@fda.hhs.gov","Tracynda Davis")</f>
        <v>Tracynda Davis</v>
      </c>
    </row>
    <row r="18" spans="1:15" ht="30" x14ac:dyDescent="0.25">
      <c r="A18" s="28" t="s">
        <v>829</v>
      </c>
      <c r="B18" s="7">
        <v>39489</v>
      </c>
      <c r="C18" s="8">
        <v>2</v>
      </c>
      <c r="D18" s="7">
        <v>40603</v>
      </c>
      <c r="E18" s="8" t="s">
        <v>833</v>
      </c>
      <c r="F18" s="8"/>
      <c r="G18" s="8"/>
      <c r="H18" s="8"/>
      <c r="I18" s="8" t="s">
        <v>834</v>
      </c>
      <c r="J18" s="8"/>
      <c r="K18" s="8" t="s">
        <v>833</v>
      </c>
      <c r="L18" s="8"/>
      <c r="M18" s="8"/>
      <c r="N18" s="8" t="s">
        <v>832</v>
      </c>
      <c r="O18" s="10" t="str">
        <f>HYPERLINK("mailto:Tracynda.Davis@fda.hhs.gov","Tracynda Davis")</f>
        <v>Tracynda Davis</v>
      </c>
    </row>
    <row r="19" spans="1:15" ht="30" x14ac:dyDescent="0.25">
      <c r="A19" s="28" t="s">
        <v>829</v>
      </c>
      <c r="B19" s="7">
        <v>39489</v>
      </c>
      <c r="C19" s="8">
        <v>3</v>
      </c>
      <c r="D19" s="7">
        <v>41699</v>
      </c>
      <c r="E19" s="8" t="s">
        <v>835</v>
      </c>
      <c r="F19" s="8"/>
      <c r="G19" s="8"/>
      <c r="H19" s="8"/>
      <c r="I19" s="8" t="s">
        <v>835</v>
      </c>
      <c r="J19" s="8"/>
      <c r="K19" s="8" t="s">
        <v>835</v>
      </c>
      <c r="L19" s="8"/>
      <c r="M19" s="8"/>
      <c r="N19" s="8" t="s">
        <v>832</v>
      </c>
      <c r="O19" s="10" t="str">
        <f>HYPERLINK("mailto:Tracynda.Davis@fda.hhs.gov","Tracynda Davis")</f>
        <v>Tracynda Davis</v>
      </c>
    </row>
    <row r="20" spans="1:15" ht="30" x14ac:dyDescent="0.25">
      <c r="A20" s="29" t="s">
        <v>836</v>
      </c>
      <c r="B20" s="12">
        <v>40718</v>
      </c>
      <c r="C20" s="13">
        <v>1</v>
      </c>
      <c r="D20" s="12">
        <v>40718</v>
      </c>
      <c r="E20" s="13" t="s">
        <v>837</v>
      </c>
      <c r="F20" s="13"/>
      <c r="G20" s="13"/>
      <c r="H20" s="13"/>
      <c r="I20" s="13"/>
      <c r="J20" s="13"/>
      <c r="K20" s="13" t="s">
        <v>837</v>
      </c>
      <c r="L20" s="13"/>
      <c r="M20" s="13"/>
      <c r="N20" s="14" t="str">
        <f>HYPERLINK("mailto:kbowen@ioniacounty.org","Ken Bowen")</f>
        <v>Ken Bowen</v>
      </c>
      <c r="O20" s="15" t="str">
        <f>HYPERLINK("mailto:Tracynda.Davis@fda.hhs.gov","Tracynda Davis")</f>
        <v>Tracynda Davis</v>
      </c>
    </row>
    <row r="21" spans="1:15" ht="30" x14ac:dyDescent="0.25">
      <c r="A21" s="29" t="s">
        <v>836</v>
      </c>
      <c r="B21" s="12">
        <v>40718</v>
      </c>
      <c r="C21" s="13">
        <v>2</v>
      </c>
      <c r="D21" s="12">
        <v>41428</v>
      </c>
      <c r="E21" s="13" t="s">
        <v>838</v>
      </c>
      <c r="F21" s="13"/>
      <c r="G21" s="13"/>
      <c r="H21" s="13"/>
      <c r="I21" s="13"/>
      <c r="J21" s="13"/>
      <c r="K21" s="13"/>
      <c r="L21" s="13"/>
      <c r="M21" s="13"/>
      <c r="N21" s="14" t="str">
        <f>HYPERLINK("mailto:kbowen@ioniacounty.org","Ken Bowen")</f>
        <v>Ken Bowen</v>
      </c>
      <c r="O21" s="15" t="str">
        <f>HYPERLINK("mailto:Tracynda.Davis@fda.hhs.gov","Tracynda Davis")</f>
        <v>Tracynda Davis</v>
      </c>
    </row>
    <row r="22" spans="1:15" ht="30" x14ac:dyDescent="0.25">
      <c r="A22" s="29" t="s">
        <v>836</v>
      </c>
      <c r="B22" s="12">
        <v>40718</v>
      </c>
      <c r="C22" s="13">
        <v>3</v>
      </c>
      <c r="D22" s="12">
        <v>43220</v>
      </c>
      <c r="E22" s="13" t="s">
        <v>839</v>
      </c>
      <c r="F22" s="13"/>
      <c r="G22" s="13"/>
      <c r="H22" s="13"/>
      <c r="I22" s="13" t="s">
        <v>840</v>
      </c>
      <c r="J22" s="13"/>
      <c r="K22" s="13" t="s">
        <v>841</v>
      </c>
      <c r="L22" s="13"/>
      <c r="M22" s="13"/>
      <c r="N22" s="14" t="str">
        <f>HYPERLINK("mailto:kbowen@ioniacounty.org","Ken Bowen")</f>
        <v>Ken Bowen</v>
      </c>
      <c r="O22" s="15" t="str">
        <f>HYPERLINK("mailto:Tracynda.Davis@fda.hhs.gov","Tracynda Davis")</f>
        <v>Tracynda Davis</v>
      </c>
    </row>
    <row r="23" spans="1:15" ht="30" x14ac:dyDescent="0.25">
      <c r="A23" s="28" t="s">
        <v>842</v>
      </c>
      <c r="B23" s="7">
        <v>39721</v>
      </c>
      <c r="C23" s="8">
        <v>1</v>
      </c>
      <c r="D23" s="7">
        <v>39721</v>
      </c>
      <c r="E23" s="8" t="s">
        <v>843</v>
      </c>
      <c r="F23" s="8"/>
      <c r="G23" s="8"/>
      <c r="H23" s="8"/>
      <c r="I23" s="8"/>
      <c r="J23" s="8"/>
      <c r="K23" s="8"/>
      <c r="L23" s="8"/>
      <c r="M23" s="8"/>
      <c r="N23" s="8" t="s">
        <v>844</v>
      </c>
      <c r="O23" s="10" t="str">
        <f>HYPERLINK("mailto:Tracynda.Davis@fda.hhs.gov","Tracynda Davis")</f>
        <v>Tracynda Davis</v>
      </c>
    </row>
    <row r="24" spans="1:15" ht="30" x14ac:dyDescent="0.25">
      <c r="A24" s="28" t="s">
        <v>842</v>
      </c>
      <c r="B24" s="7">
        <v>39721</v>
      </c>
      <c r="C24" s="8">
        <v>2</v>
      </c>
      <c r="D24" s="7">
        <v>40966</v>
      </c>
      <c r="E24" s="8" t="s">
        <v>845</v>
      </c>
      <c r="F24" s="8"/>
      <c r="G24" s="8"/>
      <c r="H24" s="8" t="s">
        <v>845</v>
      </c>
      <c r="I24" s="8"/>
      <c r="J24" s="8"/>
      <c r="K24" s="8"/>
      <c r="L24" s="8"/>
      <c r="M24" s="8"/>
      <c r="N24" s="8" t="s">
        <v>844</v>
      </c>
      <c r="O24" s="10" t="str">
        <f>HYPERLINK("mailto:Tracynda.Davis@fda.hhs.gov","Tracynda Davis")</f>
        <v>Tracynda Davis</v>
      </c>
    </row>
    <row r="25" spans="1:15" ht="30" x14ac:dyDescent="0.25">
      <c r="A25" s="28" t="s">
        <v>842</v>
      </c>
      <c r="B25" s="7">
        <v>39721</v>
      </c>
      <c r="C25" s="8">
        <v>3</v>
      </c>
      <c r="D25" s="7">
        <v>41684</v>
      </c>
      <c r="E25" s="8" t="s">
        <v>846</v>
      </c>
      <c r="F25" s="8"/>
      <c r="G25" s="8"/>
      <c r="H25" s="8"/>
      <c r="I25" s="8"/>
      <c r="J25" s="8"/>
      <c r="K25" s="8"/>
      <c r="L25" s="8"/>
      <c r="M25" s="8"/>
      <c r="N25" s="8" t="s">
        <v>844</v>
      </c>
      <c r="O25" s="10" t="str">
        <f>HYPERLINK("mailto:Tracynda.Davis@fda.hhs.gov","Tracynda Davis")</f>
        <v>Tracynda Davis</v>
      </c>
    </row>
    <row r="26" spans="1:15" ht="30" x14ac:dyDescent="0.25">
      <c r="A26" s="29" t="s">
        <v>847</v>
      </c>
      <c r="B26" s="12">
        <v>42446</v>
      </c>
      <c r="C26" s="13">
        <v>1</v>
      </c>
      <c r="D26" s="12">
        <v>42802</v>
      </c>
      <c r="E26" s="13" t="s">
        <v>848</v>
      </c>
      <c r="F26" s="13"/>
      <c r="G26" s="13"/>
      <c r="H26" s="13"/>
      <c r="I26" s="13"/>
      <c r="J26" s="13"/>
      <c r="K26" s="13" t="s">
        <v>848</v>
      </c>
      <c r="L26" s="13"/>
      <c r="M26" s="13"/>
      <c r="N26" s="14" t="str">
        <f>HYPERLINK("mailto:adam.london@kentcomi.gov","Adam London")</f>
        <v>Adam London</v>
      </c>
      <c r="O26" s="15" t="str">
        <f>HYPERLINK("mailto:Tracynda.Davis@fda.hhs.gov","Tracynda Davis")</f>
        <v>Tracynda Davis</v>
      </c>
    </row>
    <row r="27" spans="1:15" ht="30" x14ac:dyDescent="0.25">
      <c r="A27" s="28" t="s">
        <v>849</v>
      </c>
      <c r="B27" s="7">
        <v>41397</v>
      </c>
      <c r="C27" s="8">
        <v>1</v>
      </c>
      <c r="D27" s="7">
        <v>41397</v>
      </c>
      <c r="E27" s="8" t="s">
        <v>850</v>
      </c>
      <c r="F27" s="8"/>
      <c r="G27" s="8"/>
      <c r="H27" s="8"/>
      <c r="I27" s="8"/>
      <c r="J27" s="8"/>
      <c r="K27" s="8"/>
      <c r="L27" s="8"/>
      <c r="M27" s="8"/>
      <c r="N27" s="9" t="str">
        <f>HYPERLINK("mailto:mhall@hline.org","Martha Hall")</f>
        <v>Martha Hall</v>
      </c>
      <c r="O27" s="10" t="str">
        <f>HYPERLINK("mailto:Tracynda.Davis@fda.hhs.gov","Tracynda Davis")</f>
        <v>Tracynda Davis</v>
      </c>
    </row>
    <row r="28" spans="1:15" ht="30" x14ac:dyDescent="0.25">
      <c r="A28" s="29" t="s">
        <v>851</v>
      </c>
      <c r="B28" s="12">
        <v>39911</v>
      </c>
      <c r="C28" s="13">
        <v>1</v>
      </c>
      <c r="D28" s="12">
        <v>39911</v>
      </c>
      <c r="E28" s="13" t="s">
        <v>852</v>
      </c>
      <c r="F28" s="13"/>
      <c r="G28" s="13"/>
      <c r="H28" s="13"/>
      <c r="I28" s="13"/>
      <c r="J28" s="13"/>
      <c r="K28" s="13"/>
      <c r="L28" s="13"/>
      <c r="M28" s="13"/>
      <c r="N28" s="13" t="s">
        <v>853</v>
      </c>
      <c r="O28" s="15" t="str">
        <f>HYPERLINK("mailto:Tracynda.Davis@fda.hhs.gov","Tracynda Davis")</f>
        <v>Tracynda Davis</v>
      </c>
    </row>
    <row r="29" spans="1:15" ht="30" x14ac:dyDescent="0.25">
      <c r="A29" s="29" t="s">
        <v>851</v>
      </c>
      <c r="B29" s="12">
        <v>39911</v>
      </c>
      <c r="C29" s="13">
        <v>2</v>
      </c>
      <c r="D29" s="12">
        <v>41432</v>
      </c>
      <c r="E29" s="13" t="s">
        <v>854</v>
      </c>
      <c r="F29" s="13"/>
      <c r="G29" s="13"/>
      <c r="H29" s="13"/>
      <c r="I29" s="13"/>
      <c r="J29" s="13"/>
      <c r="K29" s="13"/>
      <c r="L29" s="13"/>
      <c r="M29" s="13"/>
      <c r="N29" s="13" t="s">
        <v>853</v>
      </c>
      <c r="O29" s="15" t="str">
        <f>HYPERLINK("mailto:Tracynda.Davis@fda.hhs.gov","Tracynda Davis")</f>
        <v>Tracynda Davis</v>
      </c>
    </row>
    <row r="30" spans="1:15" ht="30" x14ac:dyDescent="0.25">
      <c r="A30" s="28" t="s">
        <v>855</v>
      </c>
      <c r="B30" s="7">
        <v>40406</v>
      </c>
      <c r="C30" s="8">
        <v>1</v>
      </c>
      <c r="D30" s="7">
        <v>40406</v>
      </c>
      <c r="E30" s="8" t="s">
        <v>856</v>
      </c>
      <c r="F30" s="8"/>
      <c r="G30" s="8"/>
      <c r="H30" s="8"/>
      <c r="I30" s="8"/>
      <c r="J30" s="8"/>
      <c r="K30" s="8"/>
      <c r="L30" s="8"/>
      <c r="M30" s="8"/>
      <c r="N30" s="9" t="str">
        <f>HYPERLINK("mailto:nderusha@lmasdhd.org","Nicholas Derusha")</f>
        <v>Nicholas Derusha</v>
      </c>
      <c r="O30" s="10" t="str">
        <f>HYPERLINK("mailto:Tracynda.Davis@fda.hhs.gov","Tracynda Davis")</f>
        <v>Tracynda Davis</v>
      </c>
    </row>
    <row r="31" spans="1:15" ht="30" x14ac:dyDescent="0.25">
      <c r="A31" s="28" t="s">
        <v>855</v>
      </c>
      <c r="B31" s="7">
        <v>40406</v>
      </c>
      <c r="C31" s="8">
        <v>2</v>
      </c>
      <c r="D31" s="7">
        <v>41017</v>
      </c>
      <c r="E31" s="8" t="s">
        <v>857</v>
      </c>
      <c r="F31" s="8"/>
      <c r="G31" s="8"/>
      <c r="H31" s="8"/>
      <c r="I31" s="8"/>
      <c r="J31" s="8"/>
      <c r="K31" s="8"/>
      <c r="L31" s="8"/>
      <c r="M31" s="8"/>
      <c r="N31" s="9" t="str">
        <f>HYPERLINK("mailto:nderusha@lmasdhd.org","Nicholas Derusha")</f>
        <v>Nicholas Derusha</v>
      </c>
      <c r="O31" s="10" t="str">
        <f>HYPERLINK("mailto:Tracynda.Davis@fda.hhs.gov","Tracynda Davis")</f>
        <v>Tracynda Davis</v>
      </c>
    </row>
    <row r="32" spans="1:15" ht="45" x14ac:dyDescent="0.25">
      <c r="A32" s="11" t="str">
        <f>HYPERLINK("http://www.michigan.gov/mda","Michigan Department of Agriculture and Rural Development")</f>
        <v>Michigan Department of Agriculture and Rural Development</v>
      </c>
      <c r="B32" s="12">
        <v>38043</v>
      </c>
      <c r="C32" s="13">
        <v>1</v>
      </c>
      <c r="D32" s="12">
        <v>38497</v>
      </c>
      <c r="E32" s="13" t="s">
        <v>858</v>
      </c>
      <c r="F32" s="13" t="s">
        <v>859</v>
      </c>
      <c r="G32" s="13"/>
      <c r="H32" s="13"/>
      <c r="I32" s="13" t="s">
        <v>860</v>
      </c>
      <c r="J32" s="13"/>
      <c r="K32" s="13" t="s">
        <v>861</v>
      </c>
      <c r="L32" s="13"/>
      <c r="M32" s="13"/>
      <c r="N32" s="13" t="s">
        <v>862</v>
      </c>
      <c r="O32" s="15" t="str">
        <f>HYPERLINK("mailto:Tracynda.Davis@fda.hhs.gov","Tracynda Davis")</f>
        <v>Tracynda Davis</v>
      </c>
    </row>
    <row r="33" spans="1:15" ht="45" x14ac:dyDescent="0.25">
      <c r="A33" s="11" t="str">
        <f>HYPERLINK("http://www.michigan.gov/mda","Michigan Department of Agriculture and Rural Development")</f>
        <v>Michigan Department of Agriculture and Rural Development</v>
      </c>
      <c r="B33" s="12">
        <v>38043</v>
      </c>
      <c r="C33" s="13">
        <v>2</v>
      </c>
      <c r="D33" s="12">
        <v>40175</v>
      </c>
      <c r="E33" s="13" t="s">
        <v>334</v>
      </c>
      <c r="F33" s="13"/>
      <c r="G33" s="13"/>
      <c r="H33" s="13"/>
      <c r="I33" s="13" t="s">
        <v>334</v>
      </c>
      <c r="J33" s="13"/>
      <c r="K33" s="13" t="s">
        <v>334</v>
      </c>
      <c r="L33" s="13"/>
      <c r="M33" s="13"/>
      <c r="N33" s="13" t="s">
        <v>862</v>
      </c>
      <c r="O33" s="15" t="str">
        <f>HYPERLINK("mailto:Tracynda.Davis@fda.hhs.gov","Tracynda Davis")</f>
        <v>Tracynda Davis</v>
      </c>
    </row>
    <row r="34" spans="1:15" ht="45" x14ac:dyDescent="0.25">
      <c r="A34" s="11" t="str">
        <f>HYPERLINK("http://www.michigan.gov/mda","Michigan Department of Agriculture and Rural Development")</f>
        <v>Michigan Department of Agriculture and Rural Development</v>
      </c>
      <c r="B34" s="12">
        <v>38043</v>
      </c>
      <c r="C34" s="13">
        <v>3</v>
      </c>
      <c r="D34" s="12">
        <v>41736</v>
      </c>
      <c r="E34" s="13" t="s">
        <v>863</v>
      </c>
      <c r="F34" s="13"/>
      <c r="G34" s="13"/>
      <c r="H34" s="13"/>
      <c r="I34" s="13"/>
      <c r="J34" s="13"/>
      <c r="K34" s="13" t="s">
        <v>863</v>
      </c>
      <c r="L34" s="13"/>
      <c r="M34" s="13"/>
      <c r="N34" s="13" t="s">
        <v>862</v>
      </c>
      <c r="O34" s="15" t="str">
        <f>HYPERLINK("mailto:Tracynda.Davis@fda.hhs.gov","Tracynda Davis")</f>
        <v>Tracynda Davis</v>
      </c>
    </row>
    <row r="35" spans="1:15" ht="30" x14ac:dyDescent="0.25">
      <c r="A35" s="28" t="s">
        <v>864</v>
      </c>
      <c r="B35" s="7">
        <v>42461</v>
      </c>
      <c r="C35" s="8">
        <v>1</v>
      </c>
      <c r="D35" s="7">
        <v>43146</v>
      </c>
      <c r="E35" s="8" t="s">
        <v>865</v>
      </c>
      <c r="F35" s="8"/>
      <c r="G35" s="8"/>
      <c r="H35" s="8"/>
      <c r="I35" s="8"/>
      <c r="J35" s="8"/>
      <c r="K35" s="8"/>
      <c r="L35" s="8"/>
      <c r="M35" s="8"/>
      <c r="N35" s="9" t="str">
        <f>HYPERLINK("mailto:gprice@co.midland.mi.us","Gregory Price")</f>
        <v>Gregory Price</v>
      </c>
      <c r="O35" s="10" t="str">
        <f>HYPERLINK("mailto:Tracynda.Davis@fda.hhs.gov","Tracynda Davis")</f>
        <v>Tracynda Davis</v>
      </c>
    </row>
    <row r="36" spans="1:15" ht="30" x14ac:dyDescent="0.25">
      <c r="A36" s="11" t="str">
        <f>HYPERLINK("mmdhd.org","Mid-Michigan District Health Department")</f>
        <v>Mid-Michigan District Health Department</v>
      </c>
      <c r="B36" s="12">
        <v>40938</v>
      </c>
      <c r="C36" s="13">
        <v>1</v>
      </c>
      <c r="D36" s="12">
        <v>40942</v>
      </c>
      <c r="E36" s="13" t="s">
        <v>866</v>
      </c>
      <c r="F36" s="13"/>
      <c r="G36" s="13"/>
      <c r="H36" s="13"/>
      <c r="I36" s="13"/>
      <c r="J36" s="13"/>
      <c r="K36" s="13"/>
      <c r="L36" s="13"/>
      <c r="M36" s="13"/>
      <c r="N36" s="14" t="str">
        <f>HYPERLINK("mailto:david.burton@barrenriverhealth.org","David Burton")</f>
        <v>David Burton</v>
      </c>
      <c r="O36" s="15" t="str">
        <f>HYPERLINK("mailto:Tracynda.Davis@fda.hhs.gov","Tracynda Davis")</f>
        <v>Tracynda Davis</v>
      </c>
    </row>
    <row r="37" spans="1:15" ht="30" x14ac:dyDescent="0.25">
      <c r="A37" s="28" t="s">
        <v>867</v>
      </c>
      <c r="B37" s="7">
        <v>42284</v>
      </c>
      <c r="C37" s="8">
        <v>1</v>
      </c>
      <c r="D37" s="7">
        <v>42563</v>
      </c>
      <c r="E37" s="8" t="s">
        <v>868</v>
      </c>
      <c r="F37" s="8"/>
      <c r="G37" s="8"/>
      <c r="H37" s="8"/>
      <c r="I37" s="8" t="s">
        <v>869</v>
      </c>
      <c r="J37" s="8"/>
      <c r="K37" s="8" t="s">
        <v>870</v>
      </c>
      <c r="L37" s="8"/>
      <c r="M37" s="8"/>
      <c r="N37" s="9" t="str">
        <f>HYPERLINK("mailto:johnbraddockm@oakgov.com","Liz Braddock")</f>
        <v>Liz Braddock</v>
      </c>
      <c r="O37" s="10" t="str">
        <f>HYPERLINK("mailto:Tracynda.Davis@fda.hhs.gov","Tracynda Davis")</f>
        <v>Tracynda Davis</v>
      </c>
    </row>
    <row r="38" spans="1:15" ht="30" x14ac:dyDescent="0.25">
      <c r="A38" s="29" t="s">
        <v>871</v>
      </c>
      <c r="B38" s="12">
        <v>42144</v>
      </c>
      <c r="C38" s="13">
        <v>1</v>
      </c>
      <c r="D38" s="12">
        <v>42144</v>
      </c>
      <c r="E38" s="13" t="s">
        <v>872</v>
      </c>
      <c r="F38" s="13"/>
      <c r="G38" s="13"/>
      <c r="H38" s="13"/>
      <c r="I38" s="13"/>
      <c r="J38" s="13"/>
      <c r="K38" s="13" t="s">
        <v>872</v>
      </c>
      <c r="L38" s="13"/>
      <c r="M38" s="13"/>
      <c r="N38" s="14" t="str">
        <f>HYPERLINK("mailto:Ahambley@miOttawa.org","Adeline Hambley")</f>
        <v>Adeline Hambley</v>
      </c>
      <c r="O38" s="15" t="str">
        <f>HYPERLINK("mailto:Tracynda.Davis@fda.hhs.gov","Tracynda Davis")</f>
        <v>Tracynda Davis</v>
      </c>
    </row>
    <row r="39" spans="1:15" ht="30" x14ac:dyDescent="0.25">
      <c r="A39" s="28" t="s">
        <v>873</v>
      </c>
      <c r="B39" s="7">
        <v>42390</v>
      </c>
      <c r="C39" s="8">
        <v>1</v>
      </c>
      <c r="D39" s="7">
        <v>42612</v>
      </c>
      <c r="E39" s="8" t="s">
        <v>874</v>
      </c>
      <c r="F39" s="8"/>
      <c r="G39" s="8"/>
      <c r="H39" s="8"/>
      <c r="I39" s="8" t="s">
        <v>874</v>
      </c>
      <c r="J39" s="8"/>
      <c r="K39" s="8"/>
      <c r="L39" s="8"/>
      <c r="M39" s="8"/>
      <c r="N39" s="9" t="str">
        <f>HYPERLINK("mailto:msnyder@phdm.org","Michael Snyder")</f>
        <v>Michael Snyder</v>
      </c>
      <c r="O39" s="10" t="str">
        <f>HYPERLINK("mailto:Tracynda.Davis@fda.hhs.gov","Tracynda Davis")</f>
        <v>Tracynda Davis</v>
      </c>
    </row>
    <row r="40" spans="1:15" ht="30" x14ac:dyDescent="0.25">
      <c r="A40" s="29" t="s">
        <v>875</v>
      </c>
      <c r="B40" s="12">
        <v>40296</v>
      </c>
      <c r="C40" s="13">
        <v>1</v>
      </c>
      <c r="D40" s="12">
        <v>40296</v>
      </c>
      <c r="E40" s="13" t="s">
        <v>876</v>
      </c>
      <c r="F40" s="13"/>
      <c r="G40" s="13"/>
      <c r="H40" s="13"/>
      <c r="I40" s="13"/>
      <c r="J40" s="13"/>
      <c r="K40" s="13"/>
      <c r="L40" s="13"/>
      <c r="M40" s="13"/>
      <c r="N40" s="13" t="s">
        <v>877</v>
      </c>
      <c r="O40" s="15" t="str">
        <f>HYPERLINK("mailto:Tracynda.Davis@fda.hhs.gov","Tracynda Davis")</f>
        <v>Tracynda Davis</v>
      </c>
    </row>
    <row r="41" spans="1:15" ht="30" x14ac:dyDescent="0.25">
      <c r="A41" s="29" t="s">
        <v>875</v>
      </c>
      <c r="B41" s="12">
        <v>40296</v>
      </c>
      <c r="C41" s="13">
        <v>2</v>
      </c>
      <c r="D41" s="12">
        <v>41244</v>
      </c>
      <c r="E41" s="13" t="s">
        <v>878</v>
      </c>
      <c r="F41" s="13"/>
      <c r="G41" s="13"/>
      <c r="H41" s="13"/>
      <c r="I41" s="13"/>
      <c r="J41" s="13"/>
      <c r="K41" s="13"/>
      <c r="L41" s="13"/>
      <c r="M41" s="13"/>
      <c r="N41" s="13" t="s">
        <v>877</v>
      </c>
      <c r="O41" s="15" t="str">
        <f>HYPERLINK("mailto:Tracynda.Davis@fda.hhs.gov","Tracynda Davis")</f>
        <v>Tracynda Davis</v>
      </c>
    </row>
    <row r="42" spans="1:15" ht="30" x14ac:dyDescent="0.25">
      <c r="A42" s="6" t="str">
        <f>HYPERLINK("http://www.sehdph.org/wayne-county.htm","Wayne County Health Department")</f>
        <v>Wayne County Health Department</v>
      </c>
      <c r="B42" s="7">
        <v>40763</v>
      </c>
      <c r="C42" s="8">
        <v>1</v>
      </c>
      <c r="D42" s="7">
        <v>40763</v>
      </c>
      <c r="E42" s="8" t="s">
        <v>879</v>
      </c>
      <c r="F42" s="8"/>
      <c r="G42" s="8"/>
      <c r="H42" s="8"/>
      <c r="I42" s="8"/>
      <c r="J42" s="8"/>
      <c r="K42" s="8" t="s">
        <v>879</v>
      </c>
      <c r="L42" s="8"/>
      <c r="M42" s="8"/>
      <c r="N42" s="8" t="s">
        <v>880</v>
      </c>
      <c r="O42" s="10" t="str">
        <f>HYPERLINK("mailto:Tracynda.Davis@fda.hhs.gov","Tracynda Davis")</f>
        <v>Tracynda Davis</v>
      </c>
    </row>
    <row r="43" spans="1:15" ht="30" x14ac:dyDescent="0.25">
      <c r="A43" s="6" t="str">
        <f>HYPERLINK("http://www.sehdph.org/wayne-county.htm","Wayne County Health Department")</f>
        <v>Wayne County Health Department</v>
      </c>
      <c r="B43" s="7">
        <v>40763</v>
      </c>
      <c r="C43" s="8">
        <v>2</v>
      </c>
      <c r="D43" s="7">
        <v>41486</v>
      </c>
      <c r="E43" s="8" t="s">
        <v>881</v>
      </c>
      <c r="F43" s="8"/>
      <c r="G43" s="8"/>
      <c r="H43" s="8"/>
      <c r="I43" s="8"/>
      <c r="J43" s="8"/>
      <c r="K43" s="8"/>
      <c r="L43" s="8"/>
      <c r="M43" s="8"/>
      <c r="N43" s="8" t="s">
        <v>880</v>
      </c>
      <c r="O43" s="10" t="str">
        <f>HYPERLINK("mailto:Tracynda.Davis@fda.hhs.gov","Tracynda Davis")</f>
        <v>Tracynda Davis</v>
      </c>
    </row>
    <row r="44" spans="1:15" ht="30" x14ac:dyDescent="0.25">
      <c r="A44" s="29" t="s">
        <v>882</v>
      </c>
      <c r="B44" s="12">
        <v>40280</v>
      </c>
      <c r="C44" s="13">
        <v>1</v>
      </c>
      <c r="D44" s="12">
        <v>40295</v>
      </c>
      <c r="E44" s="13" t="s">
        <v>883</v>
      </c>
      <c r="F44" s="13"/>
      <c r="G44" s="13"/>
      <c r="H44" s="13"/>
      <c r="I44" s="13"/>
      <c r="J44" s="13"/>
      <c r="K44" s="13"/>
      <c r="L44" s="13"/>
      <c r="M44" s="13"/>
      <c r="N44" s="13" t="s">
        <v>884</v>
      </c>
      <c r="O44" s="15" t="str">
        <f>HYPERLINK("mailto:Tracynda.Davis@fda.hhs.gov","Tracynda Davis")</f>
        <v>Tracynda Davis</v>
      </c>
    </row>
    <row r="45" spans="1:15" ht="30" x14ac:dyDescent="0.25">
      <c r="A45" s="29" t="s">
        <v>882</v>
      </c>
      <c r="B45" s="12">
        <v>40280</v>
      </c>
      <c r="C45" s="13">
        <v>2</v>
      </c>
      <c r="D45" s="12">
        <v>41851</v>
      </c>
      <c r="E45" s="13" t="s">
        <v>885</v>
      </c>
      <c r="F45" s="13"/>
      <c r="G45" s="13" t="s">
        <v>885</v>
      </c>
      <c r="H45" s="13"/>
      <c r="I45" s="13"/>
      <c r="J45" s="13"/>
      <c r="K45" s="13" t="s">
        <v>885</v>
      </c>
      <c r="L45" s="13"/>
      <c r="M45" s="13"/>
      <c r="N45" s="13" t="s">
        <v>884</v>
      </c>
      <c r="O45" s="15" t="str">
        <f>HYPERLINK("mailto:Tracynda.Davis@fda.hhs.gov","Tracynda Davis")</f>
        <v>Tracynda Davis</v>
      </c>
    </row>
    <row r="46" spans="1:15" ht="30" x14ac:dyDescent="0.25">
      <c r="A46" s="30" t="s">
        <v>882</v>
      </c>
      <c r="B46" s="23">
        <v>40280</v>
      </c>
      <c r="C46" s="24">
        <v>3</v>
      </c>
      <c r="D46" s="23">
        <v>42234</v>
      </c>
      <c r="E46" s="24"/>
      <c r="F46" s="24" t="s">
        <v>886</v>
      </c>
      <c r="G46" s="24"/>
      <c r="H46" s="24" t="s">
        <v>887</v>
      </c>
      <c r="I46" s="24"/>
      <c r="J46" s="24" t="s">
        <v>887</v>
      </c>
      <c r="K46" s="24"/>
      <c r="L46" s="24"/>
      <c r="M46" s="24"/>
      <c r="N46" s="24" t="s">
        <v>884</v>
      </c>
      <c r="O46" s="26" t="str">
        <f>HYPERLINK("mailto:Tracynda.Davis@fda.hhs.gov","Tracynda Davis")</f>
        <v>Tracynda Davis</v>
      </c>
    </row>
  </sheetData>
  <pageMargins left="0.15" right="0.15" top="0.25" bottom="0.25" header="0.05" footer="0.05"/>
  <pageSetup orientation="landscape" r:id="rId1"/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70A76-B803-4181-A3CE-36826A61DA7C}">
  <sheetPr>
    <pageSetUpPr fitToPage="1"/>
  </sheetPr>
  <dimension ref="A1:O44"/>
  <sheetViews>
    <sheetView workbookViewId="0"/>
  </sheetViews>
  <sheetFormatPr defaultRowHeight="15" x14ac:dyDescent="0.25"/>
  <cols>
    <col min="1" max="1" width="33.7109375" customWidth="1"/>
    <col min="2" max="2" width="14.85546875" customWidth="1"/>
    <col min="3" max="3" width="18.42578125" customWidth="1"/>
    <col min="4" max="4" width="22" customWidth="1"/>
    <col min="5" max="13" width="17.28515625" customWidth="1"/>
    <col min="14" max="14" width="14.85546875" customWidth="1"/>
    <col min="15" max="15" width="13.140625" customWidth="1"/>
  </cols>
  <sheetData>
    <row r="1" spans="1:15" x14ac:dyDescent="0.25">
      <c r="A1" t="s">
        <v>958</v>
      </c>
      <c r="B1" s="2" t="str">
        <f>HYPERLINK("#Introduction!A1","Back to Introduction Page")</f>
        <v>Back to Introduction Page</v>
      </c>
    </row>
    <row r="2" spans="1:15" x14ac:dyDescent="0.25">
      <c r="A2" s="21" t="s">
        <v>959</v>
      </c>
    </row>
    <row r="3" spans="1:15" ht="45" x14ac:dyDescent="0.25">
      <c r="A3" s="4" t="s">
        <v>15</v>
      </c>
      <c r="B3" s="3" t="s">
        <v>16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21</v>
      </c>
      <c r="H3" s="3" t="s">
        <v>22</v>
      </c>
      <c r="I3" s="3" t="s">
        <v>23</v>
      </c>
      <c r="J3" s="3" t="s">
        <v>24</v>
      </c>
      <c r="K3" s="3" t="s">
        <v>25</v>
      </c>
      <c r="L3" s="3" t="s">
        <v>26</v>
      </c>
      <c r="M3" s="3" t="s">
        <v>27</v>
      </c>
      <c r="N3" s="3" t="s">
        <v>28</v>
      </c>
      <c r="O3" s="5" t="s">
        <v>29</v>
      </c>
    </row>
    <row r="4" spans="1:15" ht="45" x14ac:dyDescent="0.25">
      <c r="A4" s="6" t="str">
        <f>HYPERLINK("http://www.co.anoka.mn.us/index.asp","Anoka County Community Health and Environmental Services")</f>
        <v>Anoka County Community Health and Environmental Services</v>
      </c>
      <c r="B4" s="7">
        <v>39204</v>
      </c>
      <c r="C4" s="8">
        <v>1</v>
      </c>
      <c r="D4" s="7">
        <v>39418</v>
      </c>
      <c r="E4" s="8"/>
      <c r="F4" s="8"/>
      <c r="G4" s="8"/>
      <c r="H4" s="8"/>
      <c r="I4" s="8"/>
      <c r="J4" s="8"/>
      <c r="K4" s="8"/>
      <c r="L4" s="8"/>
      <c r="M4" s="8"/>
      <c r="N4" s="8" t="s">
        <v>890</v>
      </c>
      <c r="O4" s="10" t="str">
        <f>HYPERLINK("mailto:Greg.Abel@fda.hhs.gov","Greg Abel")</f>
        <v>Greg Abel</v>
      </c>
    </row>
    <row r="5" spans="1:15" ht="45" x14ac:dyDescent="0.25">
      <c r="A5" s="6" t="str">
        <f>HYPERLINK("http://www.co.anoka.mn.us/index.asp","Anoka County Community Health and Environmental Services")</f>
        <v>Anoka County Community Health and Environmental Services</v>
      </c>
      <c r="B5" s="7">
        <v>39204</v>
      </c>
      <c r="C5" s="8">
        <v>2</v>
      </c>
      <c r="D5" s="7">
        <v>41068</v>
      </c>
      <c r="E5" s="8"/>
      <c r="F5" s="8"/>
      <c r="G5" s="8"/>
      <c r="H5" s="8"/>
      <c r="I5" s="8"/>
      <c r="J5" s="8"/>
      <c r="K5" s="8"/>
      <c r="L5" s="8"/>
      <c r="M5" s="8"/>
      <c r="N5" s="8" t="s">
        <v>890</v>
      </c>
      <c r="O5" s="10" t="str">
        <f>HYPERLINK("mailto:Greg.Abel@fda.hhs.gov","Greg Abel")</f>
        <v>Greg Abel</v>
      </c>
    </row>
    <row r="6" spans="1:15" ht="45" x14ac:dyDescent="0.25">
      <c r="A6" s="29" t="s">
        <v>891</v>
      </c>
      <c r="B6" s="12">
        <v>40714</v>
      </c>
      <c r="C6" s="13">
        <v>1</v>
      </c>
      <c r="D6" s="12">
        <v>41067</v>
      </c>
      <c r="E6" s="13"/>
      <c r="F6" s="13"/>
      <c r="G6" s="13"/>
      <c r="H6" s="13"/>
      <c r="I6" s="13"/>
      <c r="J6" s="13"/>
      <c r="K6" s="13" t="s">
        <v>892</v>
      </c>
      <c r="L6" s="13"/>
      <c r="M6" s="13"/>
      <c r="N6" s="13" t="s">
        <v>893</v>
      </c>
      <c r="O6" s="15" t="str">
        <f>HYPERLINK("mailto:Greg.Abel@fda.hhs.gov","Greg Abel")</f>
        <v>Greg Abel</v>
      </c>
    </row>
    <row r="7" spans="1:15" ht="30" x14ac:dyDescent="0.25">
      <c r="A7" s="6" t="str">
        <f>HYPERLINK("http://www.ci.bloomington.mn.us/cityhall/dept/commserv/publheal/publheal.htm","City of Bloomington Environmental Health")</f>
        <v>City of Bloomington Environmental Health</v>
      </c>
      <c r="B7" s="7">
        <v>37797</v>
      </c>
      <c r="C7" s="8">
        <v>1</v>
      </c>
      <c r="D7" s="7">
        <v>38139</v>
      </c>
      <c r="E7" s="8"/>
      <c r="F7" s="8"/>
      <c r="G7" s="8"/>
      <c r="H7" s="8"/>
      <c r="I7" s="8"/>
      <c r="J7" s="8"/>
      <c r="K7" s="8"/>
      <c r="L7" s="8"/>
      <c r="M7" s="8"/>
      <c r="N7" s="8" t="s">
        <v>894</v>
      </c>
      <c r="O7" s="10" t="str">
        <f>HYPERLINK("mailto:Greg.Abel@fda.hhs.gov","Greg Abel")</f>
        <v>Greg Abel</v>
      </c>
    </row>
    <row r="8" spans="1:15" ht="30" x14ac:dyDescent="0.25">
      <c r="A8" s="6" t="str">
        <f>HYPERLINK("http://www.ci.bloomington.mn.us/cityhall/dept/commserv/publheal/publheal.htm","City of Bloomington Environmental Health")</f>
        <v>City of Bloomington Environmental Health</v>
      </c>
      <c r="B8" s="7">
        <v>37797</v>
      </c>
      <c r="C8" s="8">
        <v>2</v>
      </c>
      <c r="D8" s="7">
        <v>40396</v>
      </c>
      <c r="E8" s="8"/>
      <c r="F8" s="8" t="s">
        <v>895</v>
      </c>
      <c r="G8" s="8" t="s">
        <v>895</v>
      </c>
      <c r="H8" s="8" t="s">
        <v>895</v>
      </c>
      <c r="I8" s="8"/>
      <c r="J8" s="8" t="s">
        <v>895</v>
      </c>
      <c r="K8" s="8" t="s">
        <v>895</v>
      </c>
      <c r="L8" s="8" t="s">
        <v>895</v>
      </c>
      <c r="M8" s="8"/>
      <c r="N8" s="8" t="s">
        <v>894</v>
      </c>
      <c r="O8" s="10" t="str">
        <f>HYPERLINK("mailto:Greg.Abel@fda.hhs.gov","Greg Abel")</f>
        <v>Greg Abel</v>
      </c>
    </row>
    <row r="9" spans="1:15" x14ac:dyDescent="0.25">
      <c r="A9" s="11" t="str">
        <f>HYPERLINK("http://www.brooklynpark.org/","City of Brooklyn Park")</f>
        <v>City of Brooklyn Park</v>
      </c>
      <c r="B9" s="12">
        <v>37802</v>
      </c>
      <c r="C9" s="13">
        <v>1</v>
      </c>
      <c r="D9" s="12">
        <v>38142</v>
      </c>
      <c r="E9" s="13"/>
      <c r="F9" s="13"/>
      <c r="G9" s="13"/>
      <c r="H9" s="13"/>
      <c r="I9" s="13"/>
      <c r="J9" s="13"/>
      <c r="K9" s="13" t="s">
        <v>896</v>
      </c>
      <c r="L9" s="13" t="s">
        <v>896</v>
      </c>
      <c r="M9" s="13"/>
      <c r="N9" s="13" t="s">
        <v>897</v>
      </c>
      <c r="O9" s="15" t="str">
        <f>HYPERLINK("mailto:Greg.Abel@fda.hhs.gov","Greg Abel")</f>
        <v>Greg Abel</v>
      </c>
    </row>
    <row r="10" spans="1:15" x14ac:dyDescent="0.25">
      <c r="A10" s="11" t="str">
        <f>HYPERLINK("http://www.brooklynpark.org/","City of Brooklyn Park")</f>
        <v>City of Brooklyn Park</v>
      </c>
      <c r="B10" s="12">
        <v>37802</v>
      </c>
      <c r="C10" s="13">
        <v>2</v>
      </c>
      <c r="D10" s="12">
        <v>41452</v>
      </c>
      <c r="E10" s="13"/>
      <c r="F10" s="13"/>
      <c r="G10" s="13"/>
      <c r="H10" s="13"/>
      <c r="I10" s="13"/>
      <c r="J10" s="13"/>
      <c r="K10" s="13" t="s">
        <v>898</v>
      </c>
      <c r="L10" s="13"/>
      <c r="M10" s="13"/>
      <c r="N10" s="13" t="s">
        <v>897</v>
      </c>
      <c r="O10" s="15" t="str">
        <f>HYPERLINK("mailto:Greg.Abel@fda.hhs.gov","Greg Abel")</f>
        <v>Greg Abel</v>
      </c>
    </row>
    <row r="11" spans="1:15" x14ac:dyDescent="0.25">
      <c r="A11" s="11" t="str">
        <f>HYPERLINK("http://www.brooklynpark.org/","City of Brooklyn Park")</f>
        <v>City of Brooklyn Park</v>
      </c>
      <c r="B11" s="12">
        <v>37802</v>
      </c>
      <c r="C11" s="13">
        <v>3</v>
      </c>
      <c r="D11" s="12">
        <v>41817</v>
      </c>
      <c r="E11" s="13"/>
      <c r="F11" s="13"/>
      <c r="G11" s="13"/>
      <c r="H11" s="13"/>
      <c r="I11" s="13"/>
      <c r="J11" s="13"/>
      <c r="K11" s="13" t="s">
        <v>899</v>
      </c>
      <c r="L11" s="13"/>
      <c r="M11" s="13"/>
      <c r="N11" s="13" t="s">
        <v>897</v>
      </c>
      <c r="O11" s="15" t="str">
        <f>HYPERLINK("mailto:Greg.Abel@fda.hhs.gov","Greg Abel")</f>
        <v>Greg Abel</v>
      </c>
    </row>
    <row r="12" spans="1:15" x14ac:dyDescent="0.25">
      <c r="A12" s="11" t="str">
        <f>HYPERLINK("http://www.brooklynpark.org/","City of Brooklyn Park")</f>
        <v>City of Brooklyn Park</v>
      </c>
      <c r="B12" s="12">
        <v>37802</v>
      </c>
      <c r="C12" s="13">
        <v>4</v>
      </c>
      <c r="D12" s="12">
        <v>42643</v>
      </c>
      <c r="E12" s="13"/>
      <c r="F12" s="13"/>
      <c r="G12" s="13"/>
      <c r="H12" s="13"/>
      <c r="I12" s="13"/>
      <c r="J12" s="13"/>
      <c r="K12" s="13" t="s">
        <v>900</v>
      </c>
      <c r="L12" s="13"/>
      <c r="M12" s="13"/>
      <c r="N12" s="13" t="s">
        <v>897</v>
      </c>
      <c r="O12" s="15" t="str">
        <f>HYPERLINK("mailto:Greg.Abel@fda.hhs.gov","Greg Abel")</f>
        <v>Greg Abel</v>
      </c>
    </row>
    <row r="13" spans="1:15" x14ac:dyDescent="0.25">
      <c r="A13" s="28" t="s">
        <v>901</v>
      </c>
      <c r="B13" s="7">
        <v>40725</v>
      </c>
      <c r="C13" s="8">
        <v>1</v>
      </c>
      <c r="D13" s="7">
        <v>41075</v>
      </c>
      <c r="E13" s="8"/>
      <c r="F13" s="8"/>
      <c r="G13" s="8"/>
      <c r="H13" s="8"/>
      <c r="I13" s="8"/>
      <c r="J13" s="8"/>
      <c r="K13" s="8"/>
      <c r="L13" s="8"/>
      <c r="M13" s="8"/>
      <c r="N13" s="9" t="str">
        <f>HYPERLINK("mailto:jbrown@EdinaMN.gov","Jeff Brown")</f>
        <v>Jeff Brown</v>
      </c>
      <c r="O13" s="10" t="str">
        <f>HYPERLINK("mailto:Greg.Abel@fda.hhs.gov","Greg Abel")</f>
        <v>Greg Abel</v>
      </c>
    </row>
    <row r="14" spans="1:15" x14ac:dyDescent="0.25">
      <c r="A14" s="29" t="s">
        <v>902</v>
      </c>
      <c r="B14" s="12">
        <v>40743</v>
      </c>
      <c r="C14" s="13">
        <v>1</v>
      </c>
      <c r="D14" s="12">
        <v>41087</v>
      </c>
      <c r="E14" s="13"/>
      <c r="F14" s="13"/>
      <c r="G14" s="13"/>
      <c r="H14" s="13"/>
      <c r="I14" s="13"/>
      <c r="J14" s="13"/>
      <c r="K14" s="13" t="s">
        <v>903</v>
      </c>
      <c r="L14" s="13"/>
      <c r="M14" s="13"/>
      <c r="N14" s="13" t="s">
        <v>904</v>
      </c>
      <c r="O14" s="15" t="str">
        <f>HYPERLINK("mailto:Greg.Abel@fda.hhs.gov","Greg Abel")</f>
        <v>Greg Abel</v>
      </c>
    </row>
    <row r="15" spans="1:15" ht="30" x14ac:dyDescent="0.25">
      <c r="A15" s="28" t="s">
        <v>905</v>
      </c>
      <c r="B15" s="7">
        <v>42277</v>
      </c>
      <c r="C15" s="8">
        <v>1</v>
      </c>
      <c r="D15" s="7">
        <v>42529</v>
      </c>
      <c r="E15" s="8"/>
      <c r="F15" s="8"/>
      <c r="G15" s="8"/>
      <c r="H15" s="8"/>
      <c r="I15" s="8"/>
      <c r="J15" s="8"/>
      <c r="K15" s="8" t="s">
        <v>906</v>
      </c>
      <c r="L15" s="8"/>
      <c r="M15" s="8"/>
      <c r="N15" s="9" t="str">
        <f>HYPERLINK("mailto:Cindy.weckwerth@minneapolismn.gov","Cindy Weckwerth")</f>
        <v>Cindy Weckwerth</v>
      </c>
      <c r="O15" s="10" t="str">
        <f>HYPERLINK("mailto:Greg.Abel@fda.hhs.gov","Greg Abel")</f>
        <v>Greg Abel</v>
      </c>
    </row>
    <row r="16" spans="1:15" ht="30" x14ac:dyDescent="0.25">
      <c r="A16" s="29" t="s">
        <v>907</v>
      </c>
      <c r="B16" s="12">
        <v>40716</v>
      </c>
      <c r="C16" s="13">
        <v>1</v>
      </c>
      <c r="D16" s="12">
        <v>41078</v>
      </c>
      <c r="E16" s="13"/>
      <c r="F16" s="13"/>
      <c r="G16" s="13"/>
      <c r="H16" s="13"/>
      <c r="I16" s="13"/>
      <c r="J16" s="13"/>
      <c r="K16" s="13"/>
      <c r="L16" s="13"/>
      <c r="M16" s="13"/>
      <c r="N16" s="14" t="str">
        <f>HYPERLINK("mailto:Cindy.weckwerth@minneapolismn.gov","Cindy Weckwerth")</f>
        <v>Cindy Weckwerth</v>
      </c>
      <c r="O16" s="15" t="str">
        <f>HYPERLINK("mailto:Greg.Abel@fda.hhs.gov","Greg Abel")</f>
        <v>Greg Abel</v>
      </c>
    </row>
    <row r="17" spans="1:15" x14ac:dyDescent="0.25">
      <c r="A17" s="28" t="s">
        <v>908</v>
      </c>
      <c r="B17" s="7">
        <v>43003</v>
      </c>
      <c r="C17" s="8">
        <v>1</v>
      </c>
      <c r="D17" s="7">
        <v>43396</v>
      </c>
      <c r="E17" s="8"/>
      <c r="F17" s="8"/>
      <c r="G17" s="8"/>
      <c r="H17" s="8"/>
      <c r="I17" s="8"/>
      <c r="J17" s="8"/>
      <c r="K17" s="8" t="s">
        <v>909</v>
      </c>
      <c r="L17" s="8"/>
      <c r="M17" s="8"/>
      <c r="N17" s="9" t="str">
        <f>HYPERLINK("mailto:lisa.schreifels@ci.stcloud.mn.us","Lisa Schreifels")</f>
        <v>Lisa Schreifels</v>
      </c>
      <c r="O17" s="10" t="str">
        <f>HYPERLINK("mailto:Greg.Abel@fda.hhs.gov","Greg Abel")</f>
        <v>Greg Abel</v>
      </c>
    </row>
    <row r="18" spans="1:15" x14ac:dyDescent="0.25">
      <c r="A18" s="29" t="s">
        <v>910</v>
      </c>
      <c r="B18" s="12">
        <v>40716</v>
      </c>
      <c r="C18" s="13">
        <v>1</v>
      </c>
      <c r="D18" s="12">
        <v>41078</v>
      </c>
      <c r="E18" s="13"/>
      <c r="F18" s="13"/>
      <c r="G18" s="13"/>
      <c r="H18" s="13"/>
      <c r="I18" s="13"/>
      <c r="J18" s="13"/>
      <c r="K18" s="13"/>
      <c r="L18" s="13"/>
      <c r="M18" s="13"/>
      <c r="N18" s="13" t="s">
        <v>911</v>
      </c>
      <c r="O18" s="15" t="str">
        <f>HYPERLINK("mailto:Greg.Abel@fda.hhs.gov","Greg Abel")</f>
        <v>Greg Abel</v>
      </c>
    </row>
    <row r="19" spans="1:15" ht="30" x14ac:dyDescent="0.25">
      <c r="A19" s="6" t="str">
        <f>HYPERLINK("http://clayhealth.com/","Clay County Environmental Health")</f>
        <v>Clay County Environmental Health</v>
      </c>
      <c r="B19" s="7">
        <v>41886</v>
      </c>
      <c r="C19" s="8">
        <v>1</v>
      </c>
      <c r="D19" s="7">
        <v>42087</v>
      </c>
      <c r="E19" s="8"/>
      <c r="F19" s="8"/>
      <c r="G19" s="8"/>
      <c r="H19" s="8"/>
      <c r="I19" s="8"/>
      <c r="J19" s="8"/>
      <c r="K19" s="8"/>
      <c r="L19" s="8"/>
      <c r="M19" s="8"/>
      <c r="N19" s="9" t="str">
        <f>HYPERLINK("mailto:bruce.jaster@co.clay.mn.us","Bruce Jaster")</f>
        <v>Bruce Jaster</v>
      </c>
      <c r="O19" s="10" t="str">
        <f>HYPERLINK("mailto:Greg.Abel@fda.hhs.gov","Greg Abel")</f>
        <v>Greg Abel</v>
      </c>
    </row>
    <row r="20" spans="1:15" ht="30" x14ac:dyDescent="0.25">
      <c r="A20" s="29" t="s">
        <v>912</v>
      </c>
      <c r="B20" s="12">
        <v>42705</v>
      </c>
      <c r="C20" s="13">
        <v>1</v>
      </c>
      <c r="D20" s="12">
        <v>43455</v>
      </c>
      <c r="E20" s="13" t="s">
        <v>636</v>
      </c>
      <c r="F20" s="13"/>
      <c r="G20" s="13"/>
      <c r="H20" s="13"/>
      <c r="I20" s="13" t="s">
        <v>913</v>
      </c>
      <c r="J20" s="13"/>
      <c r="K20" s="13" t="s">
        <v>636</v>
      </c>
      <c r="L20" s="13"/>
      <c r="M20" s="13"/>
      <c r="N20" s="14" t="str">
        <f>HYPERLINK("mailto:klee@countryside.co.swift.mn.us","Kristin Lee")</f>
        <v>Kristin Lee</v>
      </c>
      <c r="O20" s="15" t="str">
        <f>HYPERLINK("mailto:Greg.Abel@fda.hhs.gov","Greg Abel")</f>
        <v>Greg Abel</v>
      </c>
    </row>
    <row r="21" spans="1:15" ht="45" x14ac:dyDescent="0.25">
      <c r="A21" s="28" t="s">
        <v>914</v>
      </c>
      <c r="B21" s="7">
        <v>40724</v>
      </c>
      <c r="C21" s="8">
        <v>1</v>
      </c>
      <c r="D21" s="7">
        <v>41088</v>
      </c>
      <c r="E21" s="8"/>
      <c r="F21" s="8" t="s">
        <v>915</v>
      </c>
      <c r="G21" s="8" t="s">
        <v>513</v>
      </c>
      <c r="H21" s="8"/>
      <c r="I21" s="8"/>
      <c r="J21" s="8"/>
      <c r="K21" s="8" t="s">
        <v>513</v>
      </c>
      <c r="L21" s="8" t="s">
        <v>513</v>
      </c>
      <c r="M21" s="8" t="s">
        <v>513</v>
      </c>
      <c r="N21" s="9" t="str">
        <f>HYPERLINK("mailto:Duane.E.Hudson@co.hennepin.mn.us","Duane Hudson")</f>
        <v>Duane Hudson</v>
      </c>
      <c r="O21" s="10" t="str">
        <f>HYPERLINK("mailto:Greg.Abel@fda.hhs.gov","Greg Abel")</f>
        <v>Greg Abel</v>
      </c>
    </row>
    <row r="22" spans="1:15" ht="45" x14ac:dyDescent="0.25">
      <c r="A22" s="28" t="s">
        <v>914</v>
      </c>
      <c r="B22" s="7">
        <v>40724</v>
      </c>
      <c r="C22" s="8">
        <v>2</v>
      </c>
      <c r="D22" s="7">
        <v>43320</v>
      </c>
      <c r="E22" s="8"/>
      <c r="F22" s="8"/>
      <c r="G22" s="8"/>
      <c r="H22" s="8"/>
      <c r="I22" s="8"/>
      <c r="J22" s="8"/>
      <c r="K22" s="8"/>
      <c r="L22" s="8"/>
      <c r="M22" s="8"/>
      <c r="N22" s="9" t="str">
        <f>HYPERLINK("mailto:Duane.E.Hudson@co.hennepin.mn.us","Duane Hudson")</f>
        <v>Duane Hudson</v>
      </c>
      <c r="O22" s="10" t="str">
        <f>HYPERLINK("mailto:Greg.Abel@fda.hhs.gov","Greg Abel")</f>
        <v>Greg Abel</v>
      </c>
    </row>
    <row r="23" spans="1:15" x14ac:dyDescent="0.25">
      <c r="A23" s="29" t="s">
        <v>916</v>
      </c>
      <c r="B23" s="12">
        <v>40714</v>
      </c>
      <c r="C23" s="13">
        <v>1</v>
      </c>
      <c r="D23" s="12">
        <v>40987</v>
      </c>
      <c r="E23" s="13"/>
      <c r="F23" s="13"/>
      <c r="G23" s="13"/>
      <c r="H23" s="13"/>
      <c r="I23" s="13"/>
      <c r="J23" s="13"/>
      <c r="K23" s="13" t="s">
        <v>917</v>
      </c>
      <c r="L23" s="13"/>
      <c r="M23" s="13"/>
      <c r="N23" s="13" t="s">
        <v>918</v>
      </c>
      <c r="O23" s="15" t="str">
        <f>HYPERLINK("mailto:Greg.Abel@fda.hhs.gov","Greg Abel")</f>
        <v>Greg Abel</v>
      </c>
    </row>
    <row r="24" spans="1:15" x14ac:dyDescent="0.25">
      <c r="A24" s="29" t="s">
        <v>916</v>
      </c>
      <c r="B24" s="12">
        <v>40714</v>
      </c>
      <c r="C24" s="13">
        <v>2</v>
      </c>
      <c r="D24" s="12">
        <v>43201</v>
      </c>
      <c r="E24" s="13"/>
      <c r="F24" s="13" t="s">
        <v>919</v>
      </c>
      <c r="G24" s="13"/>
      <c r="H24" s="13"/>
      <c r="I24" s="13"/>
      <c r="J24" s="13"/>
      <c r="K24" s="13"/>
      <c r="L24" s="13" t="s">
        <v>919</v>
      </c>
      <c r="M24" s="13"/>
      <c r="N24" s="13"/>
      <c r="O24" s="15" t="str">
        <f>HYPERLINK("mailto:Greg.Abel@fda.hhs.gov","Greg Abel")</f>
        <v>Greg Abel</v>
      </c>
    </row>
    <row r="25" spans="1:15" ht="30" x14ac:dyDescent="0.25">
      <c r="A25" s="28" t="s">
        <v>920</v>
      </c>
      <c r="B25" s="7">
        <v>40714</v>
      </c>
      <c r="C25" s="8">
        <v>1</v>
      </c>
      <c r="D25" s="7">
        <v>41085</v>
      </c>
      <c r="E25" s="8"/>
      <c r="F25" s="8"/>
      <c r="G25" s="8"/>
      <c r="H25" s="8"/>
      <c r="I25" s="8"/>
      <c r="J25" s="8"/>
      <c r="K25" s="8"/>
      <c r="L25" s="8"/>
      <c r="M25" s="8"/>
      <c r="N25" s="8" t="s">
        <v>921</v>
      </c>
      <c r="O25" s="10" t="str">
        <f>HYPERLINK("mailto:Greg.Abel@fda.hhs.gov","Greg Abel")</f>
        <v>Greg Abel</v>
      </c>
    </row>
    <row r="26" spans="1:15" ht="30" x14ac:dyDescent="0.25">
      <c r="A26" s="28" t="s">
        <v>920</v>
      </c>
      <c r="B26" s="7">
        <v>40714</v>
      </c>
      <c r="C26" s="8">
        <v>2</v>
      </c>
      <c r="D26" s="7">
        <v>42600</v>
      </c>
      <c r="E26" s="8"/>
      <c r="F26" s="8" t="s">
        <v>922</v>
      </c>
      <c r="G26" s="8"/>
      <c r="H26" s="8"/>
      <c r="I26" s="8"/>
      <c r="J26" s="8"/>
      <c r="K26" s="8" t="s">
        <v>922</v>
      </c>
      <c r="L26" s="8"/>
      <c r="M26" s="8"/>
      <c r="N26" s="8" t="s">
        <v>921</v>
      </c>
      <c r="O26" s="10" t="str">
        <f>HYPERLINK("mailto:Greg.Abel@fda.hhs.gov","Greg Abel")</f>
        <v>Greg Abel</v>
      </c>
    </row>
    <row r="27" spans="1:15" ht="30" x14ac:dyDescent="0.25">
      <c r="A27" s="11" t="str">
        <f>HYPERLINK("http://www.co.lake.mn.us/","Lake County")</f>
        <v>Lake County</v>
      </c>
      <c r="B27" s="12">
        <v>37764</v>
      </c>
      <c r="C27" s="13">
        <v>1</v>
      </c>
      <c r="D27" s="12">
        <v>38107</v>
      </c>
      <c r="E27" s="13"/>
      <c r="F27" s="13"/>
      <c r="G27" s="13"/>
      <c r="H27" s="13"/>
      <c r="I27" s="13"/>
      <c r="J27" s="13"/>
      <c r="K27" s="13"/>
      <c r="L27" s="13"/>
      <c r="M27" s="13"/>
      <c r="N27" s="14" t="str">
        <f>HYPERLINK("mailto:Michelle.Backes-Fogelberg@co.lake.mn.us","Michelle Backes-Fogelberg")</f>
        <v>Michelle Backes-Fogelberg</v>
      </c>
      <c r="O27" s="15" t="str">
        <f>HYPERLINK("mailto:Greg.Abel@fda.hhs.gov","Greg Abel")</f>
        <v>Greg Abel</v>
      </c>
    </row>
    <row r="28" spans="1:15" ht="30" x14ac:dyDescent="0.25">
      <c r="A28" s="6" t="str">
        <f>HYPERLINK("http://www.mda.state.mn.us/","Minnesota Department of Agriculture")</f>
        <v>Minnesota Department of Agriculture</v>
      </c>
      <c r="B28" s="7">
        <v>37148</v>
      </c>
      <c r="C28" s="8">
        <v>1</v>
      </c>
      <c r="D28" s="7">
        <v>37683</v>
      </c>
      <c r="E28" s="8"/>
      <c r="F28" s="8"/>
      <c r="G28" s="8" t="s">
        <v>923</v>
      </c>
      <c r="H28" s="8"/>
      <c r="I28" s="8"/>
      <c r="J28" s="8"/>
      <c r="K28" s="8" t="s">
        <v>923</v>
      </c>
      <c r="L28" s="8"/>
      <c r="M28" s="8"/>
      <c r="N28" s="9" t="str">
        <f>HYPERLINK("mailto:cassie.mueller@state.mn.us","Cassie Mueller")</f>
        <v>Cassie Mueller</v>
      </c>
      <c r="O28" s="10" t="str">
        <f>HYPERLINK("mailto:Greg.Abel@fda.hhs.gov","Greg Abel")</f>
        <v>Greg Abel</v>
      </c>
    </row>
    <row r="29" spans="1:15" ht="30" x14ac:dyDescent="0.25">
      <c r="A29" s="6" t="str">
        <f>HYPERLINK("http://www.mda.state.mn.us/","Minnesota Department of Agriculture")</f>
        <v>Minnesota Department of Agriculture</v>
      </c>
      <c r="B29" s="7">
        <v>37148</v>
      </c>
      <c r="C29" s="8">
        <v>2</v>
      </c>
      <c r="D29" s="7">
        <v>41092</v>
      </c>
      <c r="E29" s="8"/>
      <c r="F29" s="8"/>
      <c r="G29" s="8"/>
      <c r="H29" s="8"/>
      <c r="I29" s="8"/>
      <c r="J29" s="8"/>
      <c r="K29" s="8" t="s">
        <v>924</v>
      </c>
      <c r="L29" s="8"/>
      <c r="M29" s="8"/>
      <c r="N29" s="9" t="str">
        <f>HYPERLINK("mailto:cassie.mueller@state.mn.us","Cassie Mueller")</f>
        <v>Cassie Mueller</v>
      </c>
      <c r="O29" s="10" t="str">
        <f>HYPERLINK("mailto:Greg.Abel@fda.hhs.gov","Greg Abel")</f>
        <v>Greg Abel</v>
      </c>
    </row>
    <row r="30" spans="1:15" ht="30" x14ac:dyDescent="0.25">
      <c r="A30" s="6" t="str">
        <f>HYPERLINK("http://www.mda.state.mn.us/","Minnesota Department of Agriculture")</f>
        <v>Minnesota Department of Agriculture</v>
      </c>
      <c r="B30" s="7">
        <v>37148</v>
      </c>
      <c r="C30" s="8">
        <v>3</v>
      </c>
      <c r="D30" s="7">
        <v>42499</v>
      </c>
      <c r="E30" s="8"/>
      <c r="F30" s="8" t="s">
        <v>925</v>
      </c>
      <c r="G30" s="8" t="s">
        <v>926</v>
      </c>
      <c r="H30" s="8"/>
      <c r="I30" s="8" t="s">
        <v>927</v>
      </c>
      <c r="J30" s="8"/>
      <c r="K30" s="8" t="s">
        <v>926</v>
      </c>
      <c r="L30" s="8" t="s">
        <v>928</v>
      </c>
      <c r="M30" s="8"/>
      <c r="N30" s="9" t="str">
        <f>HYPERLINK("mailto:cassie.mueller@state.mn.us","Cassie Mueller")</f>
        <v>Cassie Mueller</v>
      </c>
      <c r="O30" s="10" t="str">
        <f>HYPERLINK("mailto:Greg.Abel@fda.hhs.gov","Greg Abel")</f>
        <v>Greg Abel</v>
      </c>
    </row>
    <row r="31" spans="1:15" ht="45" x14ac:dyDescent="0.25">
      <c r="A31" s="29" t="s">
        <v>929</v>
      </c>
      <c r="B31" s="12">
        <v>37148</v>
      </c>
      <c r="C31" s="13">
        <v>1</v>
      </c>
      <c r="D31" s="12">
        <v>37653</v>
      </c>
      <c r="E31" s="13"/>
      <c r="F31" s="13"/>
      <c r="G31" s="13"/>
      <c r="H31" s="13"/>
      <c r="I31" s="13" t="s">
        <v>930</v>
      </c>
      <c r="J31" s="13"/>
      <c r="K31" s="13" t="s">
        <v>931</v>
      </c>
      <c r="L31" s="13"/>
      <c r="M31" s="13"/>
      <c r="N31" s="14" t="str">
        <f>HYPERLINK("mailto:steven.diaz@state.mn.us","Steven Diaz")</f>
        <v>Steven Diaz</v>
      </c>
      <c r="O31" s="15" t="str">
        <f>HYPERLINK("mailto:Greg.Abel@fda.hhs.gov","Greg Abel")</f>
        <v>Greg Abel</v>
      </c>
    </row>
    <row r="32" spans="1:15" ht="45" x14ac:dyDescent="0.25">
      <c r="A32" s="29" t="s">
        <v>929</v>
      </c>
      <c r="B32" s="12">
        <v>37148</v>
      </c>
      <c r="C32" s="13">
        <v>2</v>
      </c>
      <c r="D32" s="12">
        <v>41061</v>
      </c>
      <c r="E32" s="13"/>
      <c r="F32" s="13" t="s">
        <v>932</v>
      </c>
      <c r="G32" s="13" t="s">
        <v>932</v>
      </c>
      <c r="H32" s="13" t="s">
        <v>932</v>
      </c>
      <c r="I32" s="13" t="s">
        <v>124</v>
      </c>
      <c r="J32" s="13" t="s">
        <v>932</v>
      </c>
      <c r="K32" s="13" t="s">
        <v>124</v>
      </c>
      <c r="L32" s="13" t="s">
        <v>932</v>
      </c>
      <c r="M32" s="13"/>
      <c r="N32" s="14" t="str">
        <f>HYPERLINK("mailto:steven.diaz@state.mn.us","Steven Diaz")</f>
        <v>Steven Diaz</v>
      </c>
      <c r="O32" s="15" t="str">
        <f>HYPERLINK("mailto:Greg.Abel@fda.hhs.gov","Greg Abel")</f>
        <v>Greg Abel</v>
      </c>
    </row>
    <row r="33" spans="1:15" ht="45" x14ac:dyDescent="0.25">
      <c r="A33" s="29" t="s">
        <v>929</v>
      </c>
      <c r="B33" s="12">
        <v>37148</v>
      </c>
      <c r="C33" s="13">
        <v>3</v>
      </c>
      <c r="D33" s="12">
        <v>42877</v>
      </c>
      <c r="E33" s="13"/>
      <c r="F33" s="13"/>
      <c r="G33" s="13" t="s">
        <v>933</v>
      </c>
      <c r="H33" s="13"/>
      <c r="I33" s="13" t="s">
        <v>934</v>
      </c>
      <c r="J33" s="13"/>
      <c r="K33" s="13" t="s">
        <v>935</v>
      </c>
      <c r="L33" s="13" t="s">
        <v>936</v>
      </c>
      <c r="M33" s="13"/>
      <c r="N33" s="14" t="str">
        <f>HYPERLINK("mailto:angie.cyr@state.mn.us","Angela Cyr")</f>
        <v>Angela Cyr</v>
      </c>
      <c r="O33" s="15" t="str">
        <f>HYPERLINK("mailto:Greg.Abel@fda.hhs.gov","Greg Abel")</f>
        <v>Greg Abel</v>
      </c>
    </row>
    <row r="34" spans="1:15" ht="30" x14ac:dyDescent="0.25">
      <c r="A34" s="28" t="s">
        <v>937</v>
      </c>
      <c r="B34" s="7">
        <v>38456</v>
      </c>
      <c r="C34" s="8">
        <v>1</v>
      </c>
      <c r="D34" s="7">
        <v>41085</v>
      </c>
      <c r="E34" s="8"/>
      <c r="F34" s="8"/>
      <c r="G34" s="8"/>
      <c r="H34" s="8"/>
      <c r="I34" s="8" t="s">
        <v>561</v>
      </c>
      <c r="J34" s="8"/>
      <c r="K34" s="8" t="s">
        <v>561</v>
      </c>
      <c r="L34" s="8" t="s">
        <v>938</v>
      </c>
      <c r="M34" s="8"/>
      <c r="N34" s="9" t="str">
        <f>HYPERLINK("mailto:melius.michael@co.olmstead.mn.us","Michael Melius")</f>
        <v>Michael Melius</v>
      </c>
      <c r="O34" s="10" t="str">
        <f>HYPERLINK("mailto:Greg.Abel@fda.hhs.gov","Greg Abel")</f>
        <v>Greg Abel</v>
      </c>
    </row>
    <row r="35" spans="1:15" ht="30" x14ac:dyDescent="0.25">
      <c r="A35" s="28" t="s">
        <v>937</v>
      </c>
      <c r="B35" s="7">
        <v>38456</v>
      </c>
      <c r="C35" s="8">
        <v>2</v>
      </c>
      <c r="D35" s="7">
        <v>42880</v>
      </c>
      <c r="E35" s="8"/>
      <c r="F35" s="8"/>
      <c r="G35" s="8"/>
      <c r="H35" s="8" t="s">
        <v>939</v>
      </c>
      <c r="I35" s="8" t="s">
        <v>940</v>
      </c>
      <c r="J35" s="8"/>
      <c r="K35" s="8" t="s">
        <v>941</v>
      </c>
      <c r="L35" s="8" t="s">
        <v>939</v>
      </c>
      <c r="M35" s="8"/>
      <c r="N35" s="9" t="str">
        <f>HYPERLINK("mailto:melius.michael@co.olmstead.mn.us","Michael Melius")</f>
        <v>Michael Melius</v>
      </c>
      <c r="O35" s="10" t="str">
        <f>HYPERLINK("mailto:Greg.Abel@fda.hhs.gov","Greg Abel")</f>
        <v>Greg Abel</v>
      </c>
    </row>
    <row r="36" spans="1:15" ht="30" x14ac:dyDescent="0.25">
      <c r="A36" s="29" t="s">
        <v>942</v>
      </c>
      <c r="B36" s="12">
        <v>43001</v>
      </c>
      <c r="C36" s="13">
        <v>1</v>
      </c>
      <c r="D36" s="13"/>
      <c r="E36" s="13"/>
      <c r="F36" s="13"/>
      <c r="G36" s="13" t="s">
        <v>943</v>
      </c>
      <c r="H36" s="13"/>
      <c r="I36" s="13" t="s">
        <v>944</v>
      </c>
      <c r="J36" s="13"/>
      <c r="K36" s="13" t="s">
        <v>945</v>
      </c>
      <c r="L36" s="13" t="s">
        <v>946</v>
      </c>
      <c r="M36" s="13"/>
      <c r="N36" s="14" t="str">
        <f>HYPERLINK("mailto:dthorson@co.ottertail.mn.us","Diane Thorson")</f>
        <v>Diane Thorson</v>
      </c>
      <c r="O36" s="15" t="str">
        <f>HYPERLINK("mailto:Greg.Abel@fda.hhs.gov","Greg Abel")</f>
        <v>Greg Abel</v>
      </c>
    </row>
    <row r="37" spans="1:15" ht="30" x14ac:dyDescent="0.25">
      <c r="A37" s="28" t="s">
        <v>947</v>
      </c>
      <c r="B37" s="7">
        <v>40710</v>
      </c>
      <c r="C37" s="8">
        <v>1</v>
      </c>
      <c r="D37" s="7">
        <v>41087</v>
      </c>
      <c r="E37" s="8"/>
      <c r="F37" s="8"/>
      <c r="G37" s="8"/>
      <c r="H37" s="8"/>
      <c r="I37" s="8"/>
      <c r="J37" s="8"/>
      <c r="K37" s="8"/>
      <c r="L37" s="8"/>
      <c r="M37" s="8"/>
      <c r="N37" s="8" t="s">
        <v>948</v>
      </c>
      <c r="O37" s="10" t="str">
        <f>HYPERLINK("mailto:Greg.Abel@fda.hhs.gov","Greg Abel")</f>
        <v>Greg Abel</v>
      </c>
    </row>
    <row r="38" spans="1:15" ht="30" x14ac:dyDescent="0.25">
      <c r="A38" s="29" t="s">
        <v>949</v>
      </c>
      <c r="B38" s="12">
        <v>40710</v>
      </c>
      <c r="C38" s="13">
        <v>1</v>
      </c>
      <c r="D38" s="12">
        <v>41086</v>
      </c>
      <c r="E38" s="13"/>
      <c r="F38" s="13"/>
      <c r="G38" s="13"/>
      <c r="H38" s="13"/>
      <c r="I38" s="13"/>
      <c r="J38" s="13" t="s">
        <v>54</v>
      </c>
      <c r="K38" s="13" t="s">
        <v>54</v>
      </c>
      <c r="L38" s="13"/>
      <c r="M38" s="13"/>
      <c r="N38" s="14" t="str">
        <f>HYPERLINK("mailto:caleb.johnson@co.ramsey.mn.us","Caleb Johnson")</f>
        <v>Caleb Johnson</v>
      </c>
      <c r="O38" s="15" t="str">
        <f>HYPERLINK("mailto:Greg.Abel@fda.hhs.gov","Greg Abel")</f>
        <v>Greg Abel</v>
      </c>
    </row>
    <row r="39" spans="1:15" ht="30" x14ac:dyDescent="0.25">
      <c r="A39" s="29" t="s">
        <v>949</v>
      </c>
      <c r="B39" s="12">
        <v>40710</v>
      </c>
      <c r="C39" s="13">
        <v>2</v>
      </c>
      <c r="D39" s="12">
        <v>43483</v>
      </c>
      <c r="E39" s="13"/>
      <c r="F39" s="13"/>
      <c r="G39" s="13"/>
      <c r="H39" s="13"/>
      <c r="I39" s="13"/>
      <c r="J39" s="13"/>
      <c r="K39" s="13" t="s">
        <v>950</v>
      </c>
      <c r="L39" s="13"/>
      <c r="M39" s="13"/>
      <c r="N39" s="14" t="str">
        <f>HYPERLINK("mailto:caleb.johnson@co.ramsey.mn.us","Caleb Johnson")</f>
        <v>Caleb Johnson</v>
      </c>
      <c r="O39" s="15" t="str">
        <f>HYPERLINK("mailto:Greg.Abel@fda.hhs.gov","Greg Abel")</f>
        <v>Greg Abel</v>
      </c>
    </row>
    <row r="40" spans="1:15" ht="30" x14ac:dyDescent="0.25">
      <c r="A40" s="28" t="s">
        <v>951</v>
      </c>
      <c r="B40" s="7">
        <v>40130</v>
      </c>
      <c r="C40" s="8">
        <v>1</v>
      </c>
      <c r="D40" s="7">
        <v>40287</v>
      </c>
      <c r="E40" s="8"/>
      <c r="F40" s="8"/>
      <c r="G40" s="8" t="s">
        <v>952</v>
      </c>
      <c r="H40" s="8"/>
      <c r="I40" s="8" t="s">
        <v>898</v>
      </c>
      <c r="J40" s="8" t="s">
        <v>953</v>
      </c>
      <c r="K40" s="8" t="s">
        <v>516</v>
      </c>
      <c r="L40" s="8" t="s">
        <v>954</v>
      </c>
      <c r="M40" s="8"/>
      <c r="N40" s="9" t="str">
        <f>HYPERLINK("mailto:cindy.pederson@co.wadena.mn.us","Cindy Pederson")</f>
        <v>Cindy Pederson</v>
      </c>
      <c r="O40" s="10" t="str">
        <f>HYPERLINK("mailto:Greg.Abel@fda.hhs.gov","Greg Abel")</f>
        <v>Greg Abel</v>
      </c>
    </row>
    <row r="41" spans="1:15" ht="45" x14ac:dyDescent="0.25">
      <c r="A41" s="11" t="str">
        <f>HYPERLINK("https://www.co.washington.mn.us/603/Environmental-Services","Washington County Department of Public Health and Environment")</f>
        <v>Washington County Department of Public Health and Environment</v>
      </c>
      <c r="B41" s="12">
        <v>37200</v>
      </c>
      <c r="C41" s="13">
        <v>1</v>
      </c>
      <c r="D41" s="12">
        <v>37643</v>
      </c>
      <c r="E41" s="13"/>
      <c r="F41" s="13"/>
      <c r="G41" s="13"/>
      <c r="H41" s="13"/>
      <c r="I41" s="13"/>
      <c r="J41" s="13"/>
      <c r="K41" s="13" t="s">
        <v>955</v>
      </c>
      <c r="L41" s="13" t="s">
        <v>955</v>
      </c>
      <c r="M41" s="13"/>
      <c r="N41" s="14" t="str">
        <f>HYPERLINK("mailto:douglas.dyer@co.washington.mn.us","Doug Dyer")</f>
        <v>Doug Dyer</v>
      </c>
      <c r="O41" s="15" t="str">
        <f>HYPERLINK("mailto:Greg.Abel@fda.hhs.gov","Greg Abel")</f>
        <v>Greg Abel</v>
      </c>
    </row>
    <row r="42" spans="1:15" ht="45" x14ac:dyDescent="0.25">
      <c r="A42" s="11" t="str">
        <f>HYPERLINK("https://www.co.washington.mn.us/603/Environmental-Services","Washington County Department of Public Health and Environment")</f>
        <v>Washington County Department of Public Health and Environment</v>
      </c>
      <c r="B42" s="12">
        <v>37200</v>
      </c>
      <c r="C42" s="13">
        <v>2</v>
      </c>
      <c r="D42" s="12">
        <v>38687</v>
      </c>
      <c r="E42" s="13"/>
      <c r="F42" s="13"/>
      <c r="G42" s="13"/>
      <c r="H42" s="13"/>
      <c r="I42" s="13"/>
      <c r="J42" s="13"/>
      <c r="K42" s="13" t="s">
        <v>956</v>
      </c>
      <c r="L42" s="13" t="s">
        <v>956</v>
      </c>
      <c r="M42" s="13"/>
      <c r="N42" s="14" t="str">
        <f>HYPERLINK("mailto:douglas.dyer@co.washington.mn.us","Doug Dyer")</f>
        <v>Doug Dyer</v>
      </c>
      <c r="O42" s="15" t="str">
        <f>HYPERLINK("mailto:Greg.Abel@fda.hhs.gov","Greg Abel")</f>
        <v>Greg Abel</v>
      </c>
    </row>
    <row r="43" spans="1:15" ht="45" x14ac:dyDescent="0.25">
      <c r="A43" s="11" t="str">
        <f>HYPERLINK("https://www.co.washington.mn.us/603/Environmental-Services","Washington County Department of Public Health and Environment")</f>
        <v>Washington County Department of Public Health and Environment</v>
      </c>
      <c r="B43" s="12">
        <v>37200</v>
      </c>
      <c r="C43" s="13">
        <v>3</v>
      </c>
      <c r="D43" s="12">
        <v>39755</v>
      </c>
      <c r="E43" s="13"/>
      <c r="F43" s="13"/>
      <c r="G43" s="13"/>
      <c r="H43" s="13"/>
      <c r="I43" s="13"/>
      <c r="J43" s="13"/>
      <c r="K43" s="13" t="s">
        <v>957</v>
      </c>
      <c r="L43" s="13"/>
      <c r="M43" s="13"/>
      <c r="N43" s="14" t="str">
        <f>HYPERLINK("mailto:douglas.dyer@co.washington.mn.us","Doug Dyer")</f>
        <v>Doug Dyer</v>
      </c>
      <c r="O43" s="15" t="str">
        <f>HYPERLINK("mailto:Greg.Abel@fda.hhs.gov","Greg Abel")</f>
        <v>Greg Abel</v>
      </c>
    </row>
    <row r="44" spans="1:15" ht="45" x14ac:dyDescent="0.25">
      <c r="A44" s="22" t="str">
        <f>HYPERLINK("https://www.co.washington.mn.us/603/Environmental-Services","Washington County Department of Public Health and Environment")</f>
        <v>Washington County Department of Public Health and Environment</v>
      </c>
      <c r="B44" s="23">
        <v>37200</v>
      </c>
      <c r="C44" s="24">
        <v>4</v>
      </c>
      <c r="D44" s="23">
        <v>42632</v>
      </c>
      <c r="E44" s="24"/>
      <c r="F44" s="24"/>
      <c r="G44" s="24"/>
      <c r="H44" s="24"/>
      <c r="I44" s="24"/>
      <c r="J44" s="24"/>
      <c r="K44" s="24"/>
      <c r="L44" s="24"/>
      <c r="M44" s="24"/>
      <c r="N44" s="25" t="str">
        <f>HYPERLINK("mailto:douglas.dyer@co.washington.mn.us","Doug Dyer")</f>
        <v>Doug Dyer</v>
      </c>
      <c r="O44" s="26" t="str">
        <f>HYPERLINK("mailto:Greg.Abel@fda.hhs.gov","Greg Abel")</f>
        <v>Greg Abel</v>
      </c>
    </row>
  </sheetData>
  <pageMargins left="0.15" right="0.15" top="0.25" bottom="0.25" header="0.05" footer="0.05"/>
  <pageSetup orientation="landscape" r:id="rId1"/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F85A5-BBB9-4673-A93B-36914C169662}">
  <sheetPr>
    <pageSetUpPr fitToPage="1"/>
  </sheetPr>
  <dimension ref="A1:O4"/>
  <sheetViews>
    <sheetView workbookViewId="0"/>
  </sheetViews>
  <sheetFormatPr defaultRowHeight="15" x14ac:dyDescent="0.25"/>
  <cols>
    <col min="1" max="1" width="33.7109375" customWidth="1"/>
    <col min="2" max="2" width="14.85546875" customWidth="1"/>
    <col min="3" max="3" width="18.42578125" customWidth="1"/>
    <col min="4" max="4" width="22" customWidth="1"/>
    <col min="5" max="13" width="17.28515625" customWidth="1"/>
    <col min="14" max="14" width="14.85546875" customWidth="1"/>
    <col min="15" max="15" width="13.140625" customWidth="1"/>
  </cols>
  <sheetData>
    <row r="1" spans="1:15" x14ac:dyDescent="0.25">
      <c r="A1" t="s">
        <v>961</v>
      </c>
      <c r="B1" s="2" t="str">
        <f>HYPERLINK("#Introduction!A1","Back to Introduction Page")</f>
        <v>Back to Introduction Page</v>
      </c>
    </row>
    <row r="2" spans="1:15" x14ac:dyDescent="0.25">
      <c r="A2" s="21" t="s">
        <v>962</v>
      </c>
    </row>
    <row r="3" spans="1:15" ht="45" x14ac:dyDescent="0.25">
      <c r="A3" s="4" t="s">
        <v>15</v>
      </c>
      <c r="B3" s="3" t="s">
        <v>16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21</v>
      </c>
      <c r="H3" s="3" t="s">
        <v>22</v>
      </c>
      <c r="I3" s="3" t="s">
        <v>23</v>
      </c>
      <c r="J3" s="3" t="s">
        <v>24</v>
      </c>
      <c r="K3" s="3" t="s">
        <v>25</v>
      </c>
      <c r="L3" s="3" t="s">
        <v>26</v>
      </c>
      <c r="M3" s="3" t="s">
        <v>27</v>
      </c>
      <c r="N3" s="3" t="s">
        <v>28</v>
      </c>
      <c r="O3" s="5" t="s">
        <v>29</v>
      </c>
    </row>
    <row r="4" spans="1:15" ht="30" x14ac:dyDescent="0.25">
      <c r="A4" s="16" t="str">
        <f>HYPERLINK("http://www.msdh.state.ms.us/msdhsite/index.cfm","Mississippi State Department of Health")</f>
        <v>Mississippi State Department of Health</v>
      </c>
      <c r="B4" s="17">
        <v>37179</v>
      </c>
      <c r="C4" s="18">
        <v>1</v>
      </c>
      <c r="D4" s="17">
        <v>37498</v>
      </c>
      <c r="E4" s="18" t="s">
        <v>960</v>
      </c>
      <c r="F4" s="18" t="s">
        <v>960</v>
      </c>
      <c r="G4" s="18" t="s">
        <v>960</v>
      </c>
      <c r="H4" s="18"/>
      <c r="I4" s="18"/>
      <c r="J4" s="18"/>
      <c r="K4" s="18" t="s">
        <v>960</v>
      </c>
      <c r="L4" s="18"/>
      <c r="M4" s="18"/>
      <c r="N4" s="19" t="str">
        <f>HYPERLINK("mailto:serena.johnson@msdh.ms.us","Serena Johnson")</f>
        <v>Serena Johnson</v>
      </c>
      <c r="O4" s="20" t="str">
        <f>HYPERLINK("mailto:Joseph.Redditt@fda.hhs.gov","Dan Redditt")</f>
        <v>Dan Redditt</v>
      </c>
    </row>
  </sheetData>
  <pageMargins left="0.15" right="0.15" top="0.25" bottom="0.25" header="0.05" footer="0.05"/>
  <pageSetup orientation="landscape" r:id="rId1"/>
  <tableParts count="1">
    <tablePart r:id="rId2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413E0-E744-4E6D-92D2-7010965AD53F}">
  <sheetPr>
    <pageSetUpPr fitToPage="1"/>
  </sheetPr>
  <dimension ref="A1:O62"/>
  <sheetViews>
    <sheetView workbookViewId="0"/>
  </sheetViews>
  <sheetFormatPr defaultRowHeight="15" x14ac:dyDescent="0.25"/>
  <cols>
    <col min="1" max="1" width="33.7109375" customWidth="1"/>
    <col min="2" max="2" width="14.85546875" customWidth="1"/>
    <col min="3" max="3" width="18.42578125" customWidth="1"/>
    <col min="4" max="4" width="22" customWidth="1"/>
    <col min="5" max="13" width="17.28515625" customWidth="1"/>
    <col min="14" max="14" width="14.85546875" customWidth="1"/>
    <col min="15" max="15" width="13.140625" customWidth="1"/>
  </cols>
  <sheetData>
    <row r="1" spans="1:15" x14ac:dyDescent="0.25">
      <c r="A1" t="s">
        <v>1047</v>
      </c>
      <c r="B1" s="2" t="str">
        <f>HYPERLINK("#Introduction!A1","Back to Introduction Page")</f>
        <v>Back to Introduction Page</v>
      </c>
    </row>
    <row r="2" spans="1:15" x14ac:dyDescent="0.25">
      <c r="A2" s="21" t="s">
        <v>1048</v>
      </c>
    </row>
    <row r="3" spans="1:15" ht="45" x14ac:dyDescent="0.25">
      <c r="A3" s="4" t="s">
        <v>15</v>
      </c>
      <c r="B3" s="3" t="s">
        <v>16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21</v>
      </c>
      <c r="H3" s="3" t="s">
        <v>22</v>
      </c>
      <c r="I3" s="3" t="s">
        <v>23</v>
      </c>
      <c r="J3" s="3" t="s">
        <v>24</v>
      </c>
      <c r="K3" s="3" t="s">
        <v>25</v>
      </c>
      <c r="L3" s="3" t="s">
        <v>26</v>
      </c>
      <c r="M3" s="3" t="s">
        <v>27</v>
      </c>
      <c r="N3" s="3" t="s">
        <v>28</v>
      </c>
      <c r="O3" s="5" t="s">
        <v>29</v>
      </c>
    </row>
    <row r="4" spans="1:15" ht="30" x14ac:dyDescent="0.25">
      <c r="A4" s="28" t="s">
        <v>963</v>
      </c>
      <c r="B4" s="7">
        <v>42936</v>
      </c>
      <c r="C4" s="8">
        <v>1</v>
      </c>
      <c r="D4" s="8"/>
      <c r="E4" s="8"/>
      <c r="F4" s="8"/>
      <c r="G4" s="8"/>
      <c r="H4" s="8"/>
      <c r="I4" s="8"/>
      <c r="J4" s="8"/>
      <c r="K4" s="8"/>
      <c r="L4" s="8"/>
      <c r="M4" s="8"/>
      <c r="N4" s="9" t="str">
        <f>HYPERLINK("mailto:ltaffner@bchdhealth.com","Lori Taffner")</f>
        <v>Lori Taffner</v>
      </c>
      <c r="O4" s="10" t="str">
        <f>HYPERLINK("mailto:Cynthia.Kunkel@fda.hhs.gov","Cynthia Kunkel")</f>
        <v>Cynthia Kunkel</v>
      </c>
    </row>
    <row r="5" spans="1:15" ht="30" x14ac:dyDescent="0.25">
      <c r="A5" s="29" t="s">
        <v>964</v>
      </c>
      <c r="B5" s="12">
        <v>41694</v>
      </c>
      <c r="C5" s="13">
        <v>1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4" t="str">
        <f>HYPERLINK("mailto:mylene.dunn@callawaycounty.org","Mylene Dunn")</f>
        <v>Mylene Dunn</v>
      </c>
      <c r="O5" s="15" t="str">
        <f>HYPERLINK("mailto:Cynthia.Kunkel@fda.hhs.gov","Cynthia Kunkel")</f>
        <v>Cynthia Kunkel</v>
      </c>
    </row>
    <row r="6" spans="1:15" ht="30" x14ac:dyDescent="0.25">
      <c r="A6" s="6" t="str">
        <f>HYPERLINK("http://camdencountyhealthh.org/","Camden County Health Department")</f>
        <v>Camden County Health Department</v>
      </c>
      <c r="B6" s="7">
        <v>41915</v>
      </c>
      <c r="C6" s="8">
        <v>1</v>
      </c>
      <c r="D6" s="8"/>
      <c r="E6" s="8"/>
      <c r="F6" s="8"/>
      <c r="G6" s="8"/>
      <c r="H6" s="8"/>
      <c r="I6" s="8"/>
      <c r="J6" s="8"/>
      <c r="K6" s="8"/>
      <c r="L6" s="8"/>
      <c r="M6" s="8"/>
      <c r="N6" s="9" t="str">
        <f>HYPERLINK("mailto:kelclasp@hotmail.com","Kelly Claspill")</f>
        <v>Kelly Claspill</v>
      </c>
      <c r="O6" s="10" t="str">
        <f>HYPERLINK("mailto:Cynthia.Kunkel@fda.hhs.gov","Cynthia Kunkel")</f>
        <v>Cynthia Kunkel</v>
      </c>
    </row>
    <row r="7" spans="1:15" ht="30" x14ac:dyDescent="0.25">
      <c r="A7" s="11" t="str">
        <f>HYPERLINK("http://www.fda.gov/Food/GuidanceRegulation/RetailFoodProtection/ProgramStandards/","Cape Girardeau County Public Health Center")</f>
        <v>Cape Girardeau County Public Health Center</v>
      </c>
      <c r="B7" s="12">
        <v>40854</v>
      </c>
      <c r="C7" s="13">
        <v>1</v>
      </c>
      <c r="D7" s="12">
        <v>41376</v>
      </c>
      <c r="E7" s="13"/>
      <c r="F7" s="13"/>
      <c r="G7" s="13"/>
      <c r="H7" s="13"/>
      <c r="I7" s="13"/>
      <c r="J7" s="13"/>
      <c r="K7" s="13" t="s">
        <v>965</v>
      </c>
      <c r="L7" s="13"/>
      <c r="M7" s="13"/>
      <c r="N7" s="14" t="str">
        <f>HYPERLINK("mailto:amy.morris@capecountyhealth.com","Amy Morris")</f>
        <v>Amy Morris</v>
      </c>
      <c r="O7" s="15" t="str">
        <f>HYPERLINK("mailto:Cynthia.Kunkel@fda.hhs.gov","Cynthia Kunkel")</f>
        <v>Cynthia Kunkel</v>
      </c>
    </row>
    <row r="8" spans="1:15" ht="30" x14ac:dyDescent="0.25">
      <c r="A8" s="28" t="s">
        <v>966</v>
      </c>
      <c r="B8" s="7">
        <v>41850</v>
      </c>
      <c r="C8" s="8">
        <v>1</v>
      </c>
      <c r="D8" s="8"/>
      <c r="E8" s="8"/>
      <c r="F8" s="8"/>
      <c r="G8" s="8"/>
      <c r="H8" s="8"/>
      <c r="I8" s="8"/>
      <c r="J8" s="8"/>
      <c r="K8" s="8"/>
      <c r="L8" s="8"/>
      <c r="M8" s="8"/>
      <c r="N8" s="9" t="str">
        <f>HYPERLINK("mailto:sandad@1pha.mopublic.org","Deborah Sandarciero")</f>
        <v>Deborah Sandarciero</v>
      </c>
      <c r="O8" s="10" t="str">
        <f>HYPERLINK("mailto:Cynthia.Kunkel@fda.hhs.gov","Cynthia Kunkel")</f>
        <v>Cynthia Kunkel</v>
      </c>
    </row>
    <row r="9" spans="1:15" ht="30" x14ac:dyDescent="0.25">
      <c r="A9" s="11" t="str">
        <f>HYPERLINK("http://www.casscounty.com/health/health.html","Cass County Health Center")</f>
        <v>Cass County Health Center</v>
      </c>
      <c r="B9" s="12">
        <v>41255</v>
      </c>
      <c r="C9" s="13">
        <v>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4" t="str">
        <f>HYPERLINK("mailto:klasst@lpha.mopublic.org","Tiffany Klassen")</f>
        <v>Tiffany Klassen</v>
      </c>
      <c r="O9" s="15" t="str">
        <f>HYPERLINK("mailto:Cynthia.Kunkel@fda.hhs.gov","Cynthia Kunkel")</f>
        <v>Cynthia Kunkel</v>
      </c>
    </row>
    <row r="10" spans="1:15" ht="30" x14ac:dyDescent="0.25">
      <c r="A10" s="6" t="str">
        <f>HYPERLINK("http://www.christiancountyhealth.com/","Christian County Health Department")</f>
        <v>Christian County Health Department</v>
      </c>
      <c r="B10" s="7">
        <v>41838</v>
      </c>
      <c r="C10" s="8">
        <v>1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9" t="str">
        <f>HYPERLINK("mailto:fostek1@lpha.mopublic.org","Kim Foster")</f>
        <v>Kim Foster</v>
      </c>
      <c r="O10" s="10" t="str">
        <f>HYPERLINK("mailto:Cynthia.Kunkel@fda.hhs.gov","Cynthia Kunkel")</f>
        <v>Cynthia Kunkel</v>
      </c>
    </row>
    <row r="11" spans="1:15" ht="30" x14ac:dyDescent="0.25">
      <c r="A11" s="11" t="str">
        <f>HYPERLINK("http://fultonmo.org/","City of Fulton")</f>
        <v>City of Fulton</v>
      </c>
      <c r="B11" s="12">
        <v>41694</v>
      </c>
      <c r="C11" s="13">
        <v>1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4" t="str">
        <f>HYPERLINK("mailto:health@fultonmo.org","Casey Moss")</f>
        <v>Casey Moss</v>
      </c>
      <c r="O11" s="15" t="str">
        <f>HYPERLINK("mailto:Cynthia.Kunkel@fda.hhs.gov","Cynthia Kunkel")</f>
        <v>Cynthia Kunkel</v>
      </c>
    </row>
    <row r="12" spans="1:15" ht="30" x14ac:dyDescent="0.25">
      <c r="A12" s="6" t="str">
        <f>HYPERLINK("http://www.indepmo.org/health/","City of Independence Health Department")</f>
        <v>City of Independence Health Department</v>
      </c>
      <c r="B12" s="7">
        <v>38918</v>
      </c>
      <c r="C12" s="8">
        <v>1</v>
      </c>
      <c r="D12" s="7">
        <v>39258</v>
      </c>
      <c r="E12" s="8"/>
      <c r="F12" s="8"/>
      <c r="G12" s="8"/>
      <c r="H12" s="8" t="s">
        <v>967</v>
      </c>
      <c r="I12" s="8"/>
      <c r="J12" s="8"/>
      <c r="K12" s="8" t="s">
        <v>968</v>
      </c>
      <c r="L12" s="8"/>
      <c r="M12" s="8"/>
      <c r="N12" s="9" t="str">
        <f>HYPERLINK("mailto:degger@indepmo.org","Diane Eggers")</f>
        <v>Diane Eggers</v>
      </c>
      <c r="O12" s="10" t="str">
        <f>HYPERLINK("mailto:Cynthia.Kunkel@fda.hhs.gov","Cynthia Kunkel")</f>
        <v>Cynthia Kunkel</v>
      </c>
    </row>
    <row r="13" spans="1:15" ht="30" x14ac:dyDescent="0.25">
      <c r="A13" s="6" t="str">
        <f>HYPERLINK("http://www.indepmo.org/health/","City of Independence Health Department")</f>
        <v>City of Independence Health Department</v>
      </c>
      <c r="B13" s="7">
        <v>38918</v>
      </c>
      <c r="C13" s="8">
        <v>2</v>
      </c>
      <c r="D13" s="7">
        <v>40343</v>
      </c>
      <c r="E13" s="8" t="s">
        <v>969</v>
      </c>
      <c r="F13" s="8"/>
      <c r="G13" s="8" t="s">
        <v>970</v>
      </c>
      <c r="H13" s="8" t="s">
        <v>971</v>
      </c>
      <c r="I13" s="8" t="s">
        <v>972</v>
      </c>
      <c r="J13" s="8"/>
      <c r="K13" s="8" t="s">
        <v>972</v>
      </c>
      <c r="L13" s="8"/>
      <c r="M13" s="8"/>
      <c r="N13" s="9" t="str">
        <f>HYPERLINK("mailto:degger@indepmo.org","Diane Eggers")</f>
        <v>Diane Eggers</v>
      </c>
      <c r="O13" s="10" t="str">
        <f>HYPERLINK("mailto:Cynthia.Kunkel@fda.hhs.gov","Cynthia Kunkel")</f>
        <v>Cynthia Kunkel</v>
      </c>
    </row>
    <row r="14" spans="1:15" ht="30" x14ac:dyDescent="0.25">
      <c r="A14" s="11" t="str">
        <f>HYPERLINK("http://www.jeffcitymo.org/","City oF Jefferson, Division of Environmental Services")</f>
        <v>City oF Jefferson, Division of Environmental Services</v>
      </c>
      <c r="B14" s="12">
        <v>37903</v>
      </c>
      <c r="C14" s="13">
        <v>1</v>
      </c>
      <c r="D14" s="12">
        <v>38769</v>
      </c>
      <c r="E14" s="13"/>
      <c r="F14" s="13"/>
      <c r="G14" s="13"/>
      <c r="H14" s="13"/>
      <c r="I14" s="13"/>
      <c r="J14" s="13"/>
      <c r="K14" s="13"/>
      <c r="L14" s="13"/>
      <c r="M14" s="13"/>
      <c r="N14" s="14" t="str">
        <f>HYPERLINK("mailto:dgrellner@jeffcitymo.org","Dave Grellner")</f>
        <v>Dave Grellner</v>
      </c>
      <c r="O14" s="15" t="str">
        <f>HYPERLINK("mailto:Cynthia.Kunkel@fda.hhs.gov","Cynthia Kunkel")</f>
        <v>Cynthia Kunkel</v>
      </c>
    </row>
    <row r="15" spans="1:15" ht="30" x14ac:dyDescent="0.25">
      <c r="A15" s="28" t="s">
        <v>973</v>
      </c>
      <c r="B15" s="7">
        <v>41695</v>
      </c>
      <c r="C15" s="8">
        <v>1</v>
      </c>
      <c r="D15" s="7">
        <v>41885</v>
      </c>
      <c r="E15" s="8"/>
      <c r="F15" s="8"/>
      <c r="G15" s="8"/>
      <c r="H15" s="8"/>
      <c r="I15" s="8"/>
      <c r="J15" s="8"/>
      <c r="K15" s="8"/>
      <c r="L15" s="8"/>
      <c r="M15" s="8"/>
      <c r="N15" s="9" t="str">
        <f>HYPERLINK("mailto:kbundy@ci.st-joseph.mo.us","Kendra Bundy")</f>
        <v>Kendra Bundy</v>
      </c>
      <c r="O15" s="10" t="str">
        <f>HYPERLINK("mailto:Cynthia.Kunkel@fda.hhs.gov","Cynthia Kunkel")</f>
        <v>Cynthia Kunkel</v>
      </c>
    </row>
    <row r="16" spans="1:15" ht="30" x14ac:dyDescent="0.25">
      <c r="A16" s="11" t="str">
        <f>HYPERLINK("http://stlouis.missouri.org/citygov/health/","City of St Louis Department of Public Health")</f>
        <v>City of St Louis Department of Public Health</v>
      </c>
      <c r="B16" s="12">
        <v>40310</v>
      </c>
      <c r="C16" s="13">
        <v>1</v>
      </c>
      <c r="D16" s="12">
        <v>40718</v>
      </c>
      <c r="E16" s="13"/>
      <c r="F16" s="13"/>
      <c r="G16" s="13"/>
      <c r="H16" s="13"/>
      <c r="I16" s="13" t="s">
        <v>974</v>
      </c>
      <c r="J16" s="13"/>
      <c r="K16" s="13"/>
      <c r="L16" s="13"/>
      <c r="M16" s="13"/>
      <c r="N16" s="14" t="str">
        <f>HYPERLINK("mailto:MahoneyP@stlouiscity.com","Pat Mahoney")</f>
        <v>Pat Mahoney</v>
      </c>
      <c r="O16" s="15" t="str">
        <f>HYPERLINK("mailto:Cynthia.Kunkel@fda.hhs.gov","Cynthia Kunkel")</f>
        <v>Cynthia Kunkel</v>
      </c>
    </row>
    <row r="17" spans="1:15" ht="30" x14ac:dyDescent="0.25">
      <c r="A17" s="11" t="str">
        <f>HYPERLINK("http://stlouis.missouri.org/citygov/health/","City of St Louis Department of Public Health")</f>
        <v>City of St Louis Department of Public Health</v>
      </c>
      <c r="B17" s="12">
        <v>40310</v>
      </c>
      <c r="C17" s="13">
        <v>2</v>
      </c>
      <c r="D17" s="12">
        <v>43461</v>
      </c>
      <c r="E17" s="13"/>
      <c r="F17" s="13"/>
      <c r="G17" s="13"/>
      <c r="H17" s="13"/>
      <c r="I17" s="13"/>
      <c r="J17" s="13"/>
      <c r="K17" s="13"/>
      <c r="L17" s="13"/>
      <c r="M17" s="13"/>
      <c r="N17" s="14" t="str">
        <f>HYPERLINK("mailto:arrighij@stlouis-mo.gov","Jeanine Arrighi")</f>
        <v>Jeanine Arrighi</v>
      </c>
      <c r="O17" s="15" t="str">
        <f>HYPERLINK("mailto:Cynthia.Kunkel@fda.hhs.gov","Cynthia Kunkel")</f>
        <v>Cynthia Kunkel</v>
      </c>
    </row>
    <row r="18" spans="1:15" ht="30" x14ac:dyDescent="0.25">
      <c r="A18" s="28" t="s">
        <v>975</v>
      </c>
      <c r="B18" s="7">
        <v>41691</v>
      </c>
      <c r="C18" s="8">
        <v>1</v>
      </c>
      <c r="D18" s="7">
        <v>41821</v>
      </c>
      <c r="E18" s="8" t="s">
        <v>976</v>
      </c>
      <c r="F18" s="8" t="s">
        <v>977</v>
      </c>
      <c r="G18" s="8" t="s">
        <v>977</v>
      </c>
      <c r="H18" s="8"/>
      <c r="I18" s="8" t="s">
        <v>978</v>
      </c>
      <c r="J18" s="8" t="s">
        <v>979</v>
      </c>
      <c r="K18" s="8" t="s">
        <v>980</v>
      </c>
      <c r="L18" s="8"/>
      <c r="M18" s="8"/>
      <c r="N18" s="9" t="str">
        <f>HYPERLINK("mailto:rgilliland@clayhealth.com","Robert Gilliland")</f>
        <v>Robert Gilliland</v>
      </c>
      <c r="O18" s="10" t="str">
        <f>HYPERLINK("mailto:Cynthia.Kunkel@fda.hhs.gov","Cynthia Kunkel")</f>
        <v>Cynthia Kunkel</v>
      </c>
    </row>
    <row r="19" spans="1:15" ht="30" x14ac:dyDescent="0.25">
      <c r="A19" s="29" t="s">
        <v>981</v>
      </c>
      <c r="B19" s="12">
        <v>41914</v>
      </c>
      <c r="C19" s="13">
        <v>1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4" t="str">
        <f>HYPERLINK("mailto:brenda.norton@clintoncohealth.org","Brenda Norton")</f>
        <v>Brenda Norton</v>
      </c>
      <c r="O19" s="15" t="str">
        <f>HYPERLINK("mailto:Cynthia.Kunkel@fda.hhs.gov","Cynthia Kunkel")</f>
        <v>Cynthia Kunkel</v>
      </c>
    </row>
    <row r="20" spans="1:15" ht="30" x14ac:dyDescent="0.25">
      <c r="A20" s="6" t="str">
        <f>HYPERLINK("http://www.colehealth.org/","Cole County Health Department")</f>
        <v>Cole County Health Department</v>
      </c>
      <c r="B20" s="7">
        <v>41374</v>
      </c>
      <c r="C20" s="8">
        <v>1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9" t="str">
        <f>HYPERLINK("mailto:cwhite@colecounty.org","Chris White")</f>
        <v>Chris White</v>
      </c>
      <c r="O20" s="10" t="str">
        <f>HYPERLINK("mailto:Cynthia.Kunkel@fda.hhs.gov","Cynthia Kunkel")</f>
        <v>Cynthia Kunkel</v>
      </c>
    </row>
    <row r="21" spans="1:15" ht="45" x14ac:dyDescent="0.25">
      <c r="A21" s="11" t="str">
        <f>HYPERLINK("http://www.gocolumbiamo.com/Health/","Columbia-Boone County Department of Public Health &amp; Human Services")</f>
        <v>Columbia-Boone County Department of Public Health &amp; Human Services</v>
      </c>
      <c r="B21" s="12">
        <v>39947</v>
      </c>
      <c r="C21" s="13">
        <v>1</v>
      </c>
      <c r="D21" s="12">
        <v>40182</v>
      </c>
      <c r="E21" s="13" t="s">
        <v>982</v>
      </c>
      <c r="F21" s="13"/>
      <c r="G21" s="13" t="s">
        <v>983</v>
      </c>
      <c r="H21" s="13"/>
      <c r="I21" s="13"/>
      <c r="J21" s="13" t="s">
        <v>984</v>
      </c>
      <c r="K21" s="13" t="s">
        <v>985</v>
      </c>
      <c r="L21" s="13"/>
      <c r="M21" s="13"/>
      <c r="N21" s="14" t="str">
        <f>HYPERLINK("mailto:mawekenb@gocolumbiamo.com","Kala Wekenborg-Tomka")</f>
        <v>Kala Wekenborg-Tomka</v>
      </c>
      <c r="O21" s="15" t="str">
        <f>HYPERLINK("mailto:Cynthia.Kunkel@fda.hhs.gov","Cynthia Kunkel")</f>
        <v>Cynthia Kunkel</v>
      </c>
    </row>
    <row r="22" spans="1:15" ht="45" x14ac:dyDescent="0.25">
      <c r="A22" s="11" t="str">
        <f>HYPERLINK("http://www.gocolumbiamo.com/Health/","Columbia-Boone County Department of Public Health &amp; Human Services")</f>
        <v>Columbia-Boone County Department of Public Health &amp; Human Services</v>
      </c>
      <c r="B22" s="12">
        <v>39947</v>
      </c>
      <c r="C22" s="13">
        <v>2</v>
      </c>
      <c r="D22" s="12">
        <v>41861</v>
      </c>
      <c r="E22" s="13" t="s">
        <v>986</v>
      </c>
      <c r="F22" s="13"/>
      <c r="G22" s="13" t="s">
        <v>987</v>
      </c>
      <c r="H22" s="13"/>
      <c r="I22" s="13"/>
      <c r="J22" s="13" t="s">
        <v>988</v>
      </c>
      <c r="K22" s="13" t="s">
        <v>989</v>
      </c>
      <c r="L22" s="13"/>
      <c r="M22" s="13"/>
      <c r="N22" s="14" t="str">
        <f>HYPERLINK("mailto:mawekenb@gocolumbiamo.com","Kala Wekenborg-Tomka")</f>
        <v>Kala Wekenborg-Tomka</v>
      </c>
      <c r="O22" s="15" t="str">
        <f>HYPERLINK("mailto:Cynthia.Kunkel@fda.hhs.gov","Cynthia Kunkel")</f>
        <v>Cynthia Kunkel</v>
      </c>
    </row>
    <row r="23" spans="1:15" ht="30" x14ac:dyDescent="0.25">
      <c r="A23" s="28" t="s">
        <v>990</v>
      </c>
      <c r="B23" s="7">
        <v>41242</v>
      </c>
      <c r="C23" s="8">
        <v>1</v>
      </c>
      <c r="D23" s="7">
        <v>41822</v>
      </c>
      <c r="E23" s="8"/>
      <c r="F23" s="8"/>
      <c r="G23" s="8"/>
      <c r="H23" s="8"/>
      <c r="I23" s="8"/>
      <c r="J23" s="8"/>
      <c r="K23" s="8" t="s">
        <v>991</v>
      </c>
      <c r="L23" s="8"/>
      <c r="M23" s="8"/>
      <c r="N23" s="9" t="str">
        <f>HYPERLINK("mailto:mauzel@lpha.mopublic.org","Laura Mauzey")</f>
        <v>Laura Mauzey</v>
      </c>
      <c r="O23" s="10" t="str">
        <f>HYPERLINK("mailto:Cynthia.Kunkel@fda.hhs.gov","Cynthia Kunkel")</f>
        <v>Cynthia Kunkel</v>
      </c>
    </row>
    <row r="24" spans="1:15" ht="30" x14ac:dyDescent="0.25">
      <c r="A24" s="11" t="str">
        <f>HYPERLINK("http://www.dallascountyhealth.com/","Dallas County Health Department")</f>
        <v>Dallas County Health Department</v>
      </c>
      <c r="B24" s="12">
        <v>42221</v>
      </c>
      <c r="C24" s="13">
        <v>1</v>
      </c>
      <c r="D24" s="12">
        <v>42389</v>
      </c>
      <c r="E24" s="13"/>
      <c r="F24" s="13"/>
      <c r="G24" s="13"/>
      <c r="H24" s="13"/>
      <c r="I24" s="13"/>
      <c r="J24" s="13"/>
      <c r="K24" s="13"/>
      <c r="L24" s="13"/>
      <c r="M24" s="13"/>
      <c r="N24" s="14" t="str">
        <f>HYPERLINK("mailto:jackss2@lpha.mopublic.org","Shannon Jackson")</f>
        <v>Shannon Jackson</v>
      </c>
      <c r="O24" s="15" t="str">
        <f>HYPERLINK("mailto:Cynthia.Kunkel@fda.hhs.gov","Cynthia Kunkel")</f>
        <v>Cynthia Kunkel</v>
      </c>
    </row>
    <row r="25" spans="1:15" ht="30" x14ac:dyDescent="0.25">
      <c r="A25" s="6" t="str">
        <f>HYPERLINK("http://gasconadecountyhealth.com/","Gasconade County Health Department")</f>
        <v>Gasconade County Health Department</v>
      </c>
      <c r="B25" s="7">
        <v>41696</v>
      </c>
      <c r="C25" s="8">
        <v>1</v>
      </c>
      <c r="D25" s="7">
        <v>42321</v>
      </c>
      <c r="E25" s="8"/>
      <c r="F25" s="8"/>
      <c r="G25" s="8"/>
      <c r="H25" s="8"/>
      <c r="I25" s="8"/>
      <c r="J25" s="8"/>
      <c r="K25" s="8"/>
      <c r="L25" s="8"/>
      <c r="M25" s="8"/>
      <c r="N25" s="9" t="str">
        <f>HYPERLINK("mailto:larag@lpha.mopublic.org","Greg Lara")</f>
        <v>Greg Lara</v>
      </c>
      <c r="O25" s="10" t="str">
        <f>HYPERLINK("mailto:Cynthia.Kunkel@fda.hhs.gov","Cynthia Kunkel")</f>
        <v>Cynthia Kunkel</v>
      </c>
    </row>
    <row r="26" spans="1:15" ht="30" x14ac:dyDescent="0.25">
      <c r="A26" s="29" t="s">
        <v>992</v>
      </c>
      <c r="B26" s="12">
        <v>42612</v>
      </c>
      <c r="C26" s="13">
        <v>1</v>
      </c>
      <c r="D26" s="12">
        <v>42901</v>
      </c>
      <c r="E26" s="13"/>
      <c r="F26" s="13"/>
      <c r="G26" s="13"/>
      <c r="H26" s="13"/>
      <c r="I26" s="13"/>
      <c r="J26" s="13"/>
      <c r="K26" s="13"/>
      <c r="L26" s="13"/>
      <c r="M26" s="13"/>
      <c r="N26" s="14" t="str">
        <f>HYPERLINK("mailto:lmurray@grundycountyhealth.org","Lori Murray")</f>
        <v>Lori Murray</v>
      </c>
      <c r="O26" s="15" t="str">
        <f>HYPERLINK("mailto:Cynthia.Kunkel@fda.hhs.gov","Cynthia Kunkel")</f>
        <v>Cynthia Kunkel</v>
      </c>
    </row>
    <row r="27" spans="1:15" ht="30" x14ac:dyDescent="0.25">
      <c r="A27" s="6" t="str">
        <f>HYPERLINK("http://www.jacksongov.org/eh/","Jackson County Environmental Health")</f>
        <v>Jackson County Environmental Health</v>
      </c>
      <c r="B27" s="7">
        <v>40878</v>
      </c>
      <c r="C27" s="8">
        <v>1</v>
      </c>
      <c r="D27" s="7">
        <v>40938</v>
      </c>
      <c r="E27" s="8"/>
      <c r="F27" s="8"/>
      <c r="G27" s="8"/>
      <c r="H27" s="8" t="s">
        <v>993</v>
      </c>
      <c r="I27" s="8"/>
      <c r="J27" s="8" t="s">
        <v>994</v>
      </c>
      <c r="K27" s="8" t="s">
        <v>995</v>
      </c>
      <c r="L27" s="8"/>
      <c r="M27" s="8"/>
      <c r="N27" s="9" t="str">
        <f>HYPERLINK("mailto:DSees@jacksongov.org","Debbie Sees")</f>
        <v>Debbie Sees</v>
      </c>
      <c r="O27" s="10" t="str">
        <f>HYPERLINK("mailto:Cynthia.Kunkel@fda.hhs.gov","Cynthia Kunkel")</f>
        <v>Cynthia Kunkel</v>
      </c>
    </row>
    <row r="28" spans="1:15" ht="30" x14ac:dyDescent="0.25">
      <c r="A28" s="6" t="str">
        <f>HYPERLINK("http://www.jacksongov.org/eh/","Jackson County Environmental Health")</f>
        <v>Jackson County Environmental Health</v>
      </c>
      <c r="B28" s="7">
        <v>40878</v>
      </c>
      <c r="C28" s="8">
        <v>2</v>
      </c>
      <c r="D28" s="7">
        <v>42969</v>
      </c>
      <c r="E28" s="8"/>
      <c r="F28" s="8"/>
      <c r="G28" s="8" t="s">
        <v>996</v>
      </c>
      <c r="H28" s="8" t="s">
        <v>997</v>
      </c>
      <c r="I28" s="8"/>
      <c r="J28" s="8" t="s">
        <v>994</v>
      </c>
      <c r="K28" s="8" t="s">
        <v>994</v>
      </c>
      <c r="L28" s="8"/>
      <c r="M28" s="8"/>
      <c r="N28" s="9" t="str">
        <f>HYPERLINK("mailto:DSees@jacksongov.org","Debbie Sees, CEHS")</f>
        <v>Debbie Sees, CEHS</v>
      </c>
      <c r="O28" s="10" t="str">
        <f>HYPERLINK("mailto:Cynthia.Kunkel@fda.hhs.gov","Cynthia Kunkel")</f>
        <v>Cynthia Kunkel</v>
      </c>
    </row>
    <row r="29" spans="1:15" ht="30" x14ac:dyDescent="0.25">
      <c r="A29" s="29" t="s">
        <v>998</v>
      </c>
      <c r="B29" s="12">
        <v>37321</v>
      </c>
      <c r="C29" s="13">
        <v>1</v>
      </c>
      <c r="D29" s="12">
        <v>41058</v>
      </c>
      <c r="E29" s="13" t="s">
        <v>417</v>
      </c>
      <c r="F29" s="13"/>
      <c r="G29" s="13"/>
      <c r="H29" s="13" t="s">
        <v>417</v>
      </c>
      <c r="I29" s="13"/>
      <c r="J29" s="13"/>
      <c r="K29" s="13"/>
      <c r="L29" s="13" t="s">
        <v>417</v>
      </c>
      <c r="M29" s="13"/>
      <c r="N29" s="14" t="str">
        <f>HYPERLINK("mailto:Steve.Sikes@JeffCoHealth.Org","Steven Sikes")</f>
        <v>Steven Sikes</v>
      </c>
      <c r="O29" s="15" t="str">
        <f>HYPERLINK("mailto:Cynthia.Kunkel@fda.hhs.gov","Cynthia Kunkel")</f>
        <v>Cynthia Kunkel</v>
      </c>
    </row>
    <row r="30" spans="1:15" ht="30" x14ac:dyDescent="0.25">
      <c r="A30" s="29" t="s">
        <v>998</v>
      </c>
      <c r="B30" s="12">
        <v>37321</v>
      </c>
      <c r="C30" s="13">
        <v>2</v>
      </c>
      <c r="D30" s="12">
        <v>42543</v>
      </c>
      <c r="E30" s="13" t="s">
        <v>999</v>
      </c>
      <c r="F30" s="13" t="s">
        <v>1000</v>
      </c>
      <c r="G30" s="13" t="s">
        <v>1001</v>
      </c>
      <c r="H30" s="13"/>
      <c r="I30" s="13"/>
      <c r="J30" s="13"/>
      <c r="K30" s="13" t="s">
        <v>999</v>
      </c>
      <c r="L30" s="13"/>
      <c r="M30" s="13" t="s">
        <v>1002</v>
      </c>
      <c r="N30" s="14" t="str">
        <f>HYPERLINK("mailto:Steve.Sikes@JeffCoHealth.Org","Steven Sikes")</f>
        <v>Steven Sikes</v>
      </c>
      <c r="O30" s="15" t="str">
        <f>HYPERLINK("mailto:Cynthia.Kunkel@fda.hhs.gov","Cynthia Kunkel")</f>
        <v>Cynthia Kunkel</v>
      </c>
    </row>
    <row r="31" spans="1:15" ht="30" x14ac:dyDescent="0.25">
      <c r="A31" s="6" t="str">
        <f>HYPERLINK("http://johnsoncountyhealth.org/","Johnson County Health Department")</f>
        <v>Johnson County Health Department</v>
      </c>
      <c r="B31" s="7">
        <v>40794</v>
      </c>
      <c r="C31" s="8">
        <v>1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9" t="str">
        <f>HYPERLINK("mailto:kistns@lpha.mopublic.org","Sabetha Kistner")</f>
        <v>Sabetha Kistner</v>
      </c>
      <c r="O31" s="10" t="str">
        <f>HYPERLINK("mailto:Cynthia.Kunkel@fda.hhs.gov","Cynthia Kunkel")</f>
        <v>Cynthia Kunkel</v>
      </c>
    </row>
    <row r="32" spans="1:15" ht="30" x14ac:dyDescent="0.25">
      <c r="A32" s="11" t="str">
        <f>HYPERLINK("http://www.kcmo.org/CKCMO/Depts/Health/index.htm","Kansas City Missouri Health Department")</f>
        <v>Kansas City Missouri Health Department</v>
      </c>
      <c r="B32" s="12">
        <v>37133</v>
      </c>
      <c r="C32" s="13">
        <v>1</v>
      </c>
      <c r="D32" s="12">
        <v>37515</v>
      </c>
      <c r="E32" s="13" t="s">
        <v>1003</v>
      </c>
      <c r="F32" s="13"/>
      <c r="G32" s="13"/>
      <c r="H32" s="13"/>
      <c r="I32" s="13"/>
      <c r="J32" s="13"/>
      <c r="K32" s="13" t="s">
        <v>1003</v>
      </c>
      <c r="L32" s="13"/>
      <c r="M32" s="13"/>
      <c r="N32" s="14" t="str">
        <f>HYPERLINK("mailto:rgilliland@clayhealth.com","Robert Gilliland")</f>
        <v>Robert Gilliland</v>
      </c>
      <c r="O32" s="15" t="str">
        <f>HYPERLINK("mailto:Cynthia.Kunkel@fda.hhs.gov","Cynthia Kunkel")</f>
        <v>Cynthia Kunkel</v>
      </c>
    </row>
    <row r="33" spans="1:15" ht="30" x14ac:dyDescent="0.25">
      <c r="A33" s="11" t="str">
        <f>HYPERLINK("http://www.kcmo.org/CKCMO/Depts/Health/index.htm","Kansas City Missouri Health Department")</f>
        <v>Kansas City Missouri Health Department</v>
      </c>
      <c r="B33" s="12">
        <v>37133</v>
      </c>
      <c r="C33" s="13">
        <v>2</v>
      </c>
      <c r="D33" s="12">
        <v>41806</v>
      </c>
      <c r="E33" s="13" t="s">
        <v>1004</v>
      </c>
      <c r="F33" s="13" t="s">
        <v>1004</v>
      </c>
      <c r="G33" s="13" t="s">
        <v>1004</v>
      </c>
      <c r="H33" s="13" t="s">
        <v>1004</v>
      </c>
      <c r="I33" s="13" t="s">
        <v>1005</v>
      </c>
      <c r="J33" s="13" t="s">
        <v>1005</v>
      </c>
      <c r="K33" s="13" t="s">
        <v>1004</v>
      </c>
      <c r="L33" s="13" t="s">
        <v>1005</v>
      </c>
      <c r="M33" s="13" t="s">
        <v>1005</v>
      </c>
      <c r="N33" s="14" t="str">
        <f>HYPERLINK("mailto:rgilliland@clayhealth.com","Robert Gilliland")</f>
        <v>Robert Gilliland</v>
      </c>
      <c r="O33" s="15" t="str">
        <f>HYPERLINK("mailto:Cynthia.Kunkel@fda.hhs.gov","Cynthia Kunkel")</f>
        <v>Cynthia Kunkel</v>
      </c>
    </row>
    <row r="34" spans="1:15" ht="30" x14ac:dyDescent="0.25">
      <c r="A34" s="28" t="s">
        <v>1006</v>
      </c>
      <c r="B34" s="7">
        <v>41303</v>
      </c>
      <c r="C34" s="8">
        <v>1</v>
      </c>
      <c r="D34" s="7">
        <v>43028</v>
      </c>
      <c r="E34" s="8"/>
      <c r="F34" s="8"/>
      <c r="G34" s="8"/>
      <c r="H34" s="8"/>
      <c r="I34" s="8"/>
      <c r="J34" s="8"/>
      <c r="K34" s="8" t="s">
        <v>1007</v>
      </c>
      <c r="L34" s="8"/>
      <c r="M34" s="8"/>
      <c r="N34" s="9" t="str">
        <f>HYPERLINK("mailto:debbie.dreves@lpha.mo.gov","Debbie Dreves")</f>
        <v>Debbie Dreves</v>
      </c>
      <c r="O34" s="10" t="str">
        <f>HYPERLINK("mailto:Cynthia.Kunkel@fda.hhs.gov","Cynthia Kunkel")</f>
        <v>Cynthia Kunkel</v>
      </c>
    </row>
    <row r="35" spans="1:15" ht="30" x14ac:dyDescent="0.25">
      <c r="A35" s="11" t="str">
        <f>HYPERLINK("https://lchdmo.org/","Lincoln County Health Department")</f>
        <v>Lincoln County Health Department</v>
      </c>
      <c r="B35" s="12">
        <v>43385</v>
      </c>
      <c r="C35" s="13">
        <v>1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4" t="str">
        <f>HYPERLINK("mailto:Amanda.ingram@lchdmo.org","Amanda Ingram")</f>
        <v>Amanda Ingram</v>
      </c>
      <c r="O35" s="15" t="str">
        <f>HYPERLINK("mailto:Cynthia.Kunkel@fda.hhs.gov","Cynthia Kunkel")</f>
        <v>Cynthia Kunkel</v>
      </c>
    </row>
    <row r="36" spans="1:15" ht="30" x14ac:dyDescent="0.25">
      <c r="A36" s="28" t="s">
        <v>1008</v>
      </c>
      <c r="B36" s="7">
        <v>42608</v>
      </c>
      <c r="C36" s="8">
        <v>1</v>
      </c>
      <c r="D36" s="7">
        <v>42899</v>
      </c>
      <c r="E36" s="8"/>
      <c r="F36" s="8"/>
      <c r="G36" s="8"/>
      <c r="H36" s="8"/>
      <c r="I36" s="8"/>
      <c r="J36" s="8"/>
      <c r="K36" s="8" t="s">
        <v>1009</v>
      </c>
      <c r="L36" s="8"/>
      <c r="M36" s="8"/>
      <c r="N36" s="9" t="str">
        <f>HYPERLINK("mailto:lori.murray@livcohealth.com","Lori Murray")</f>
        <v>Lori Murray</v>
      </c>
      <c r="O36" s="10" t="str">
        <f>HYPERLINK("mailto:Cynthia.Kunkel@fda.hhs.gov","Cynthia Kunkel")</f>
        <v>Cynthia Kunkel</v>
      </c>
    </row>
    <row r="37" spans="1:15" ht="30" x14ac:dyDescent="0.25">
      <c r="A37" s="29" t="s">
        <v>1010</v>
      </c>
      <c r="B37" s="12">
        <v>41919</v>
      </c>
      <c r="C37" s="13">
        <v>1</v>
      </c>
      <c r="D37" s="12">
        <v>42250</v>
      </c>
      <c r="E37" s="13"/>
      <c r="F37" s="13"/>
      <c r="G37" s="13"/>
      <c r="H37" s="13"/>
      <c r="I37" s="13"/>
      <c r="J37" s="13"/>
      <c r="K37" s="13"/>
      <c r="L37" s="13"/>
      <c r="M37" s="13"/>
      <c r="N37" s="14" t="str">
        <f>HYPERLINK("mailto:msnyder@maconmohealth.org","Mark L. Snyder")</f>
        <v>Mark L. Snyder</v>
      </c>
      <c r="O37" s="15" t="str">
        <f>HYPERLINK("mailto:Cynthia.Kunkel@fda.hhs.gov","Cynthia Kunkel")</f>
        <v>Cynthia Kunkel</v>
      </c>
    </row>
    <row r="38" spans="1:15" ht="30" x14ac:dyDescent="0.25">
      <c r="A38" s="6" t="str">
        <f>HYPERLINK("http://www.marioncountyhealth.org/","Marion County Health Department")</f>
        <v>Marion County Health Department</v>
      </c>
      <c r="B38" s="7">
        <v>40560</v>
      </c>
      <c r="C38" s="8">
        <v>1</v>
      </c>
      <c r="D38" s="7">
        <v>42740</v>
      </c>
      <c r="E38" s="8"/>
      <c r="F38" s="8"/>
      <c r="G38" s="8"/>
      <c r="H38" s="8"/>
      <c r="I38" s="8"/>
      <c r="J38" s="8"/>
      <c r="K38" s="8"/>
      <c r="L38" s="8"/>
      <c r="M38" s="8"/>
      <c r="N38" s="9" t="str">
        <f>HYPERLINK("mailto:Frank.Lemongelli@lpha.mo.gov","Frank Lemongelli")</f>
        <v>Frank Lemongelli</v>
      </c>
      <c r="O38" s="10" t="str">
        <f>HYPERLINK("mailto:Cynthia.Kunkel@fda.hhs.gov","Cynthia Kunkel")</f>
        <v>Cynthia Kunkel</v>
      </c>
    </row>
    <row r="39" spans="1:15" ht="30" x14ac:dyDescent="0.25">
      <c r="A39" s="11" t="str">
        <f>HYPERLINK("http://www.dhss.mo.gov/","Missouri Department of Health &amp; Senior Services")</f>
        <v>Missouri Department of Health &amp; Senior Services</v>
      </c>
      <c r="B39" s="12">
        <v>37165</v>
      </c>
      <c r="C39" s="13">
        <v>1</v>
      </c>
      <c r="D39" s="12">
        <v>37417</v>
      </c>
      <c r="E39" s="13"/>
      <c r="F39" s="13"/>
      <c r="G39" s="13"/>
      <c r="H39" s="13"/>
      <c r="I39" s="13"/>
      <c r="J39" s="13"/>
      <c r="K39" s="13" t="s">
        <v>1011</v>
      </c>
      <c r="L39" s="13"/>
      <c r="M39" s="13"/>
      <c r="N39" s="14" t="str">
        <f>HYPERLINK("mailto:Ellen.dettman@health.mo.gov","Ellen Dettman")</f>
        <v>Ellen Dettman</v>
      </c>
      <c r="O39" s="15" t="str">
        <f>HYPERLINK("mailto:Cynthia.Kunkel@fda.hhs.gov","Cynthia Kunkel")</f>
        <v>Cynthia Kunkel</v>
      </c>
    </row>
    <row r="40" spans="1:15" ht="30" x14ac:dyDescent="0.25">
      <c r="A40" s="11" t="str">
        <f>HYPERLINK("http://www.dhss.mo.gov/","Missouri Department of Health &amp; Senior Services")</f>
        <v>Missouri Department of Health &amp; Senior Services</v>
      </c>
      <c r="B40" s="12">
        <v>37165</v>
      </c>
      <c r="C40" s="13">
        <v>2</v>
      </c>
      <c r="D40" s="12">
        <v>40711</v>
      </c>
      <c r="E40" s="13"/>
      <c r="F40" s="13"/>
      <c r="G40" s="13"/>
      <c r="H40" s="13"/>
      <c r="I40" s="13"/>
      <c r="J40" s="13"/>
      <c r="K40" s="13" t="s">
        <v>1012</v>
      </c>
      <c r="L40" s="13"/>
      <c r="M40" s="13"/>
      <c r="N40" s="14" t="str">
        <f>HYPERLINK("mailto:Ellen.dettman@health.mo.gov","Ellen Dettman")</f>
        <v>Ellen Dettman</v>
      </c>
      <c r="O40" s="15" t="str">
        <f>HYPERLINK("mailto:Cynthia.Kunkel@fda.hhs.gov","Cynthia Kunkel")</f>
        <v>Cynthia Kunkel</v>
      </c>
    </row>
    <row r="41" spans="1:15" ht="30" x14ac:dyDescent="0.25">
      <c r="A41" s="11" t="str">
        <f>HYPERLINK("http://www.dhss.mo.gov/","Missouri Department of Health &amp; Senior Services")</f>
        <v>Missouri Department of Health &amp; Senior Services</v>
      </c>
      <c r="B41" s="12">
        <v>37165</v>
      </c>
      <c r="C41" s="13">
        <v>3</v>
      </c>
      <c r="D41" s="12">
        <v>42530</v>
      </c>
      <c r="E41" s="13"/>
      <c r="F41" s="13"/>
      <c r="G41" s="13" t="s">
        <v>1013</v>
      </c>
      <c r="H41" s="13"/>
      <c r="I41" s="13" t="s">
        <v>1014</v>
      </c>
      <c r="J41" s="13"/>
      <c r="K41" s="13" t="s">
        <v>1015</v>
      </c>
      <c r="L41" s="13"/>
      <c r="M41" s="13"/>
      <c r="N41" s="14" t="str">
        <f>HYPERLINK("mailto:Jonathan.Garoutte@health.mo.gov","Jonathan Garoutte")</f>
        <v>Jonathan Garoutte</v>
      </c>
      <c r="O41" s="15" t="str">
        <f>HYPERLINK("mailto:Cynthia.Kunkel@fda.hhs.gov","Cynthia Kunkel")</f>
        <v>Cynthia Kunkel</v>
      </c>
    </row>
    <row r="42" spans="1:15" ht="30" x14ac:dyDescent="0.25">
      <c r="A42" s="6" t="str">
        <f>HYPERLINK("http://www.perrycountyhealth.com/","Perry County Health Department")</f>
        <v>Perry County Health Department</v>
      </c>
      <c r="B42" s="7">
        <v>40868</v>
      </c>
      <c r="C42" s="8">
        <v>1</v>
      </c>
      <c r="D42" s="7">
        <v>41910</v>
      </c>
      <c r="E42" s="8"/>
      <c r="F42" s="8"/>
      <c r="G42" s="8"/>
      <c r="H42" s="8"/>
      <c r="I42" s="8"/>
      <c r="J42" s="8"/>
      <c r="K42" s="8"/>
      <c r="L42" s="8"/>
      <c r="M42" s="8"/>
      <c r="N42" s="9" t="str">
        <f>HYPERLINK("mailto:cliftk@lpha.mopublic.org","Karen Clifton")</f>
        <v>Karen Clifton</v>
      </c>
      <c r="O42" s="10" t="str">
        <f>HYPERLINK("mailto:Cynthia.Kunkel@fda.hhs.gov","Cynthia Kunkel")</f>
        <v>Cynthia Kunkel</v>
      </c>
    </row>
    <row r="43" spans="1:15" ht="30" x14ac:dyDescent="0.25">
      <c r="A43" s="29" t="s">
        <v>1016</v>
      </c>
      <c r="B43" s="12">
        <v>41918</v>
      </c>
      <c r="C43" s="13">
        <v>1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4" t="str">
        <f>HYPERLINK("mailto:david.switzner@lpha.mo.gov","David Switzner")</f>
        <v>David Switzner</v>
      </c>
      <c r="O43" s="15" t="str">
        <f>HYPERLINK("mailto:Cynthia.Kunkel@fda.hhs.gov","Cynthia Kunkel")</f>
        <v>Cynthia Kunkel</v>
      </c>
    </row>
    <row r="44" spans="1:15" ht="30" x14ac:dyDescent="0.25">
      <c r="A44" s="28" t="s">
        <v>1017</v>
      </c>
      <c r="B44" s="7">
        <v>42626</v>
      </c>
      <c r="C44" s="8">
        <v>1</v>
      </c>
      <c r="D44" s="8"/>
      <c r="E44" s="8"/>
      <c r="F44" s="8"/>
      <c r="G44" s="8"/>
      <c r="H44" s="8"/>
      <c r="I44" s="8"/>
      <c r="J44" s="8"/>
      <c r="K44" s="8"/>
      <c r="L44" s="8"/>
      <c r="M44" s="8"/>
      <c r="N44" s="9" t="str">
        <f>HYPERLINK("mailto:John.Campbell@phelpscounty.org","John Campbell")</f>
        <v>John Campbell</v>
      </c>
      <c r="O44" s="10" t="str">
        <f>HYPERLINK("mailto:Cynthia.Kunkel@fda.hhs.gov","Cynthia Kunkel")</f>
        <v>Cynthia Kunkel</v>
      </c>
    </row>
    <row r="45" spans="1:15" ht="30" x14ac:dyDescent="0.25">
      <c r="A45" s="29" t="s">
        <v>552</v>
      </c>
      <c r="B45" s="12">
        <v>41885</v>
      </c>
      <c r="C45" s="13">
        <v>1</v>
      </c>
      <c r="D45" s="12">
        <v>42013</v>
      </c>
      <c r="E45" s="13"/>
      <c r="F45" s="13"/>
      <c r="G45" s="13"/>
      <c r="H45" s="13"/>
      <c r="I45" s="13"/>
      <c r="J45" s="13"/>
      <c r="K45" s="13"/>
      <c r="L45" s="13"/>
      <c r="M45" s="13"/>
      <c r="N45" s="14" t="str">
        <f>HYPERLINK("mailto:hamptg@lpha.mopublic.org","Glen Hampton")</f>
        <v>Glen Hampton</v>
      </c>
      <c r="O45" s="15" t="str">
        <f>HYPERLINK("mailto:Cynthia.Kunkel@fda.hhs.gov","Cynthia Kunkel")</f>
        <v>Cynthia Kunkel</v>
      </c>
    </row>
    <row r="46" spans="1:15" ht="45" x14ac:dyDescent="0.25">
      <c r="A46" s="6" t="str">
        <f>HYPERLINK("http://www.plattecountyhealthdept.com/environmentalhealth/","Platte County Health Department - Envm. Health Division")</f>
        <v>Platte County Health Department - Envm. Health Division</v>
      </c>
      <c r="B46" s="7">
        <v>40294</v>
      </c>
      <c r="C46" s="8">
        <v>1</v>
      </c>
      <c r="D46" s="7">
        <v>40445</v>
      </c>
      <c r="E46" s="8"/>
      <c r="F46" s="8" t="s">
        <v>1018</v>
      </c>
      <c r="G46" s="8"/>
      <c r="H46" s="8" t="s">
        <v>1018</v>
      </c>
      <c r="I46" s="8"/>
      <c r="J46" s="8"/>
      <c r="K46" s="8" t="s">
        <v>1019</v>
      </c>
      <c r="L46" s="8"/>
      <c r="M46" s="8"/>
      <c r="N46" s="9" t="str">
        <f>HYPERLINK("mailto:brandi.moritz@plattehealth.com","Brandi Moritz")</f>
        <v>Brandi Moritz</v>
      </c>
      <c r="O46" s="10" t="str">
        <f>HYPERLINK("mailto:Cynthia.Kunkel@fda.hhs.gov","Cynthia Kunkel")</f>
        <v>Cynthia Kunkel</v>
      </c>
    </row>
    <row r="47" spans="1:15" ht="45" x14ac:dyDescent="0.25">
      <c r="A47" s="6" t="str">
        <f>HYPERLINK("http://www.plattecountyhealthdept.com/environmentalhealth/","Platte County Health Department - Envm. Health Division")</f>
        <v>Platte County Health Department - Envm. Health Division</v>
      </c>
      <c r="B47" s="7">
        <v>40294</v>
      </c>
      <c r="C47" s="8">
        <v>2</v>
      </c>
      <c r="D47" s="7">
        <v>42566</v>
      </c>
      <c r="E47" s="8"/>
      <c r="F47" s="8" t="s">
        <v>1020</v>
      </c>
      <c r="G47" s="8"/>
      <c r="H47" s="8" t="s">
        <v>1020</v>
      </c>
      <c r="I47" s="8"/>
      <c r="J47" s="8"/>
      <c r="K47" s="8" t="s">
        <v>1021</v>
      </c>
      <c r="L47" s="8"/>
      <c r="M47" s="8"/>
      <c r="N47" s="9" t="str">
        <f>HYPERLINK("mailto:brandi.moritz@plattehealth.com","Brandi Moritz")</f>
        <v>Brandi Moritz</v>
      </c>
      <c r="O47" s="10" t="str">
        <f>HYPERLINK("mailto:Cynthia.Kunkel@fda.hhs.gov","Cynthia Kunkel")</f>
        <v>Cynthia Kunkel</v>
      </c>
    </row>
    <row r="48" spans="1:15" ht="30" x14ac:dyDescent="0.25">
      <c r="A48" s="11" t="str">
        <f>HYPERLINK("http://www.polkcountyhealth.net/","Polk County Health Department")</f>
        <v>Polk County Health Department</v>
      </c>
      <c r="B48" s="12">
        <v>41270</v>
      </c>
      <c r="C48" s="13">
        <v>1</v>
      </c>
      <c r="D48" s="12">
        <v>42369</v>
      </c>
      <c r="E48" s="13"/>
      <c r="F48" s="13"/>
      <c r="G48" s="13"/>
      <c r="H48" s="13"/>
      <c r="I48" s="13"/>
      <c r="J48" s="13"/>
      <c r="K48" s="13" t="s">
        <v>1022</v>
      </c>
      <c r="L48" s="13"/>
      <c r="M48" s="13"/>
      <c r="N48" s="14" t="str">
        <f>HYPERLINK("mailto:sanderson@polkcountyhealth.net","Susan Anderson")</f>
        <v>Susan Anderson</v>
      </c>
      <c r="O48" s="15" t="str">
        <f>HYPERLINK("mailto:Cynthia.Kunkel@fda.hhs.gov","Cynthia Kunkel")</f>
        <v>Cynthia Kunkel</v>
      </c>
    </row>
    <row r="49" spans="1:15" ht="30" x14ac:dyDescent="0.25">
      <c r="A49" s="6" t="str">
        <f>HYPERLINK("http://www.pulaskicountyhealth.com/","Pulaksi County Health Department")</f>
        <v>Pulaksi County Health Department</v>
      </c>
      <c r="B49" s="7">
        <v>40757</v>
      </c>
      <c r="C49" s="8">
        <v>1</v>
      </c>
      <c r="D49" s="8"/>
      <c r="E49" s="8"/>
      <c r="F49" s="8"/>
      <c r="G49" s="8"/>
      <c r="H49" s="8"/>
      <c r="I49" s="8"/>
      <c r="J49" s="8"/>
      <c r="K49" s="8"/>
      <c r="L49" s="8"/>
      <c r="M49" s="8"/>
      <c r="N49" s="9" t="str">
        <f>HYPERLINK("mailto:wallk@lpha.mopublic.org","Karen Wall")</f>
        <v>Karen Wall</v>
      </c>
      <c r="O49" s="10" t="str">
        <f>HYPERLINK("mailto:Cynthia.Kunkel@fda.hhs.gov","Cynthia Kunkel")</f>
        <v>Cynthia Kunkel</v>
      </c>
    </row>
    <row r="50" spans="1:15" ht="30" x14ac:dyDescent="0.25">
      <c r="A50" s="11" t="str">
        <f>HYPERLINK("http://ralls.1phamo.org/","Ralls County Health Department")</f>
        <v>Ralls County Health Department</v>
      </c>
      <c r="B50" s="12">
        <v>41842</v>
      </c>
      <c r="C50" s="13">
        <v>1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4" t="str">
        <f>HYPERLINK("mailto:Kathy.Meyer@lpha.mo.gov","Kathy Meyer")</f>
        <v>Kathy Meyer</v>
      </c>
      <c r="O50" s="15" t="str">
        <f>HYPERLINK("mailto:Cynthia.Kunkel@fda.hhs.gov","Cynthia Kunkel")</f>
        <v>Cynthia Kunkel</v>
      </c>
    </row>
    <row r="51" spans="1:15" ht="30" x14ac:dyDescent="0.25">
      <c r="A51" s="28" t="s">
        <v>1023</v>
      </c>
      <c r="B51" s="7">
        <v>40974</v>
      </c>
      <c r="C51" s="8">
        <v>1</v>
      </c>
      <c r="D51" s="7">
        <v>42202</v>
      </c>
      <c r="E51" s="8" t="s">
        <v>1024</v>
      </c>
      <c r="F51" s="8"/>
      <c r="G51" s="8"/>
      <c r="H51" s="8"/>
      <c r="I51" s="8"/>
      <c r="J51" s="8"/>
      <c r="K51" s="8"/>
      <c r="L51" s="8"/>
      <c r="M51" s="8"/>
      <c r="N51" s="9" t="str">
        <f>HYPERLINK("mailto:breuse@randolphcountyhealth.org","Eric Breusch")</f>
        <v>Eric Breusch</v>
      </c>
      <c r="O51" s="10" t="str">
        <f>HYPERLINK("mailto:Cynthia.Kunkel@fda.hhs.gov","Cynthia Kunkel")</f>
        <v>Cynthia Kunkel</v>
      </c>
    </row>
    <row r="52" spans="1:15" ht="30" x14ac:dyDescent="0.25">
      <c r="A52" s="29" t="s">
        <v>1025</v>
      </c>
      <c r="B52" s="12">
        <v>41850</v>
      </c>
      <c r="C52" s="13">
        <v>1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4" t="str">
        <f>HYPERLINK("mailto:Olivia.price@lpha.mo.gov","Olivia Price")</f>
        <v>Olivia Price</v>
      </c>
      <c r="O52" s="15" t="str">
        <f>HYPERLINK("mailto:Cynthia.Kunkel@fda.hhs.gov","Cynthia Kunkel")</f>
        <v>Cynthia Kunkel</v>
      </c>
    </row>
    <row r="53" spans="1:15" ht="30" x14ac:dyDescent="0.25">
      <c r="A53" s="6" t="str">
        <f>HYPERLINK("http://www.shco.org/","Shelby County Health Department")</f>
        <v>Shelby County Health Department</v>
      </c>
      <c r="B53" s="7">
        <v>39017</v>
      </c>
      <c r="C53" s="8">
        <v>1</v>
      </c>
      <c r="D53" s="7">
        <v>42250</v>
      </c>
      <c r="E53" s="8"/>
      <c r="F53" s="8"/>
      <c r="G53" s="8"/>
      <c r="H53" s="8"/>
      <c r="I53" s="8"/>
      <c r="J53" s="8"/>
      <c r="K53" s="8"/>
      <c r="L53" s="8"/>
      <c r="M53" s="8"/>
      <c r="N53" s="9" t="str">
        <f>HYPERLINK("mailto:msnyder@maconmohealth.org","Mark L. Snyder")</f>
        <v>Mark L. Snyder</v>
      </c>
      <c r="O53" s="10" t="str">
        <f>HYPERLINK("mailto:Cynthia.Kunkel@fda.hhs.gov","Cynthia Kunkel")</f>
        <v>Cynthia Kunkel</v>
      </c>
    </row>
    <row r="54" spans="1:15" ht="30" x14ac:dyDescent="0.25">
      <c r="A54" s="11" t="str">
        <f>HYPERLINK("http://www.ci.springfield.mo.us/health/","Springfield-Greene County Health Department")</f>
        <v>Springfield-Greene County Health Department</v>
      </c>
      <c r="B54" s="12">
        <v>37791</v>
      </c>
      <c r="C54" s="13">
        <v>1</v>
      </c>
      <c r="D54" s="12">
        <v>38155</v>
      </c>
      <c r="E54" s="13"/>
      <c r="F54" s="13"/>
      <c r="G54" s="13"/>
      <c r="H54" s="13" t="s">
        <v>1026</v>
      </c>
      <c r="I54" s="13"/>
      <c r="J54" s="13"/>
      <c r="K54" s="13" t="s">
        <v>1027</v>
      </c>
      <c r="L54" s="13"/>
      <c r="M54" s="13"/>
      <c r="N54" s="14" t="str">
        <f>HYPERLINK("mailto:rsharp@springfieldmo.gov","Roxanne Sharp")</f>
        <v>Roxanne Sharp</v>
      </c>
      <c r="O54" s="15" t="str">
        <f>HYPERLINK("mailto:Cynthia.Kunkel@fda.hhs.gov","Cynthia Kunkel")</f>
        <v>Cynthia Kunkel</v>
      </c>
    </row>
    <row r="55" spans="1:15" ht="30" x14ac:dyDescent="0.25">
      <c r="A55" s="11" t="str">
        <f>HYPERLINK("http://www.ci.springfield.mo.us/health/","Springfield-Greene County Health Department")</f>
        <v>Springfield-Greene County Health Department</v>
      </c>
      <c r="B55" s="12">
        <v>37791</v>
      </c>
      <c r="C55" s="13">
        <v>2</v>
      </c>
      <c r="D55" s="12">
        <v>40921</v>
      </c>
      <c r="E55" s="13"/>
      <c r="F55" s="13"/>
      <c r="G55" s="13" t="s">
        <v>1028</v>
      </c>
      <c r="H55" s="13" t="s">
        <v>1029</v>
      </c>
      <c r="I55" s="13"/>
      <c r="J55" s="13" t="s">
        <v>1030</v>
      </c>
      <c r="K55" s="13" t="s">
        <v>1031</v>
      </c>
      <c r="L55" s="13"/>
      <c r="M55" s="13"/>
      <c r="N55" s="14" t="str">
        <f>HYPERLINK("mailto:rsharp@springfieldmo.gov","Roxanne Sharp")</f>
        <v>Roxanne Sharp</v>
      </c>
      <c r="O55" s="15" t="str">
        <f>HYPERLINK("mailto:Cynthia.Kunkel@fda.hhs.gov","Cynthia Kunkel")</f>
        <v>Cynthia Kunkel</v>
      </c>
    </row>
    <row r="56" spans="1:15" ht="30" x14ac:dyDescent="0.25">
      <c r="A56" s="6" t="str">
        <f>HYPERLINK("http://www.scchealth.org/","St. Charles County Health")</f>
        <v>St. Charles County Health</v>
      </c>
      <c r="B56" s="7">
        <v>39112</v>
      </c>
      <c r="C56" s="8">
        <v>1</v>
      </c>
      <c r="D56" s="7">
        <v>39846</v>
      </c>
      <c r="E56" s="8" t="s">
        <v>1032</v>
      </c>
      <c r="F56" s="8"/>
      <c r="G56" s="8" t="s">
        <v>1033</v>
      </c>
      <c r="H56" s="8" t="s">
        <v>1034</v>
      </c>
      <c r="I56" s="8"/>
      <c r="J56" s="8" t="s">
        <v>1034</v>
      </c>
      <c r="K56" s="8" t="s">
        <v>1034</v>
      </c>
      <c r="L56" s="8"/>
      <c r="M56" s="8"/>
      <c r="N56" s="9" t="str">
        <f>HYPERLINK("mailto:rtilley@sccmo.org","Ryan Tilley")</f>
        <v>Ryan Tilley</v>
      </c>
      <c r="O56" s="10" t="str">
        <f>HYPERLINK("mailto:Cynthia.Kunkel@fda.hhs.gov","Cynthia Kunkel")</f>
        <v>Cynthia Kunkel</v>
      </c>
    </row>
    <row r="57" spans="1:15" ht="30" x14ac:dyDescent="0.25">
      <c r="A57" s="11" t="str">
        <f>HYPERLINK("http://www.sfchc.org/index.html","St. Francois County Health Center")</f>
        <v>St. Francois County Health Center</v>
      </c>
      <c r="B57" s="12">
        <v>40731</v>
      </c>
      <c r="C57" s="13">
        <v>1</v>
      </c>
      <c r="D57" s="12">
        <v>43090</v>
      </c>
      <c r="E57" s="13"/>
      <c r="F57" s="13"/>
      <c r="G57" s="13" t="s">
        <v>1035</v>
      </c>
      <c r="H57" s="13"/>
      <c r="I57" s="13"/>
      <c r="J57" s="13"/>
      <c r="K57" s="13" t="s">
        <v>1036</v>
      </c>
      <c r="L57" s="13"/>
      <c r="M57" s="13" t="s">
        <v>1037</v>
      </c>
      <c r="N57" s="14" t="str">
        <f>HYPERLINK("mailto:jon.peacock@sfchealth.org","Jon Peacock")</f>
        <v>Jon Peacock</v>
      </c>
      <c r="O57" s="15" t="str">
        <f>HYPERLINK("mailto:Cynthia.Kunkel@fda.hhs.gov","Cynthia Kunkel")</f>
        <v>Cynthia Kunkel</v>
      </c>
    </row>
    <row r="58" spans="1:15" ht="30" x14ac:dyDescent="0.25">
      <c r="A58" s="6" t="str">
        <f>HYPERLINK("http://www.co.st-louis.mo.us/doh/","St. Louis County Department of Health")</f>
        <v>St. Louis County Department of Health</v>
      </c>
      <c r="B58" s="7">
        <v>37329</v>
      </c>
      <c r="C58" s="8">
        <v>1</v>
      </c>
      <c r="D58" s="7">
        <v>37650</v>
      </c>
      <c r="E58" s="8" t="s">
        <v>1038</v>
      </c>
      <c r="F58" s="8"/>
      <c r="G58" s="8"/>
      <c r="H58" s="8"/>
      <c r="I58" s="8"/>
      <c r="J58" s="8"/>
      <c r="K58" s="8" t="s">
        <v>1038</v>
      </c>
      <c r="L58" s="8"/>
      <c r="M58" s="8"/>
      <c r="N58" s="9" t="str">
        <f>HYPERLINK("mailto:jtheard@stlouisco.com","Joyce Theard")</f>
        <v>Joyce Theard</v>
      </c>
      <c r="O58" s="10" t="str">
        <f>HYPERLINK("mailto:Cynthia.Kunkel@fda.hhs.gov","Cynthia Kunkel")</f>
        <v>Cynthia Kunkel</v>
      </c>
    </row>
    <row r="59" spans="1:15" ht="30" x14ac:dyDescent="0.25">
      <c r="A59" s="6" t="str">
        <f>HYPERLINK("http://www.co.st-louis.mo.us/doh/","St. Louis County Department of Health")</f>
        <v>St. Louis County Department of Health</v>
      </c>
      <c r="B59" s="7">
        <v>37329</v>
      </c>
      <c r="C59" s="8">
        <v>2</v>
      </c>
      <c r="D59" s="7">
        <v>40302</v>
      </c>
      <c r="E59" s="8" t="s">
        <v>1039</v>
      </c>
      <c r="F59" s="8"/>
      <c r="G59" s="8" t="s">
        <v>1039</v>
      </c>
      <c r="H59" s="8"/>
      <c r="I59" s="8" t="s">
        <v>1040</v>
      </c>
      <c r="J59" s="8"/>
      <c r="K59" s="8" t="s">
        <v>1041</v>
      </c>
      <c r="L59" s="8"/>
      <c r="M59" s="8"/>
      <c r="N59" s="9" t="str">
        <f>HYPERLINK("mailto:jtheard@stlouisco.com","Joyce Theard")</f>
        <v>Joyce Theard</v>
      </c>
      <c r="O59" s="10" t="str">
        <f>HYPERLINK("mailto:Cynthia.Kunkel@fda.hhs.gov","Cynthia Kunkel")</f>
        <v>Cynthia Kunkel</v>
      </c>
    </row>
    <row r="60" spans="1:15" ht="30" x14ac:dyDescent="0.25">
      <c r="A60" s="11" t="str">
        <f>HYPERLINK("http://www.taneycohealth.org/","Taney County Health Department")</f>
        <v>Taney County Health Department</v>
      </c>
      <c r="B60" s="12">
        <v>39976</v>
      </c>
      <c r="C60" s="13">
        <v>1</v>
      </c>
      <c r="D60" s="12">
        <v>40914</v>
      </c>
      <c r="E60" s="13" t="s">
        <v>1042</v>
      </c>
      <c r="F60" s="13"/>
      <c r="G60" s="13" t="s">
        <v>1043</v>
      </c>
      <c r="H60" s="13" t="s">
        <v>1044</v>
      </c>
      <c r="I60" s="13" t="s">
        <v>1043</v>
      </c>
      <c r="J60" s="13" t="s">
        <v>1044</v>
      </c>
      <c r="K60" s="13" t="s">
        <v>1045</v>
      </c>
      <c r="L60" s="13" t="s">
        <v>1043</v>
      </c>
      <c r="M60" s="13" t="s">
        <v>1043</v>
      </c>
      <c r="N60" s="14" t="str">
        <f>HYPERLINK("mailto:rhoadc@lpha.mopublic.org","Craig Rhoads")</f>
        <v>Craig Rhoads</v>
      </c>
      <c r="O60" s="15" t="str">
        <f>HYPERLINK("mailto:Cynthia.Kunkel@fda.hhs.gov","Cynthia Kunkel")</f>
        <v>Cynthia Kunkel</v>
      </c>
    </row>
    <row r="61" spans="1:15" ht="30" x14ac:dyDescent="0.25">
      <c r="A61" s="28" t="s">
        <v>1046</v>
      </c>
      <c r="B61" s="7">
        <v>42801</v>
      </c>
      <c r="C61" s="8">
        <v>1</v>
      </c>
      <c r="D61" s="8"/>
      <c r="E61" s="8"/>
      <c r="F61" s="8"/>
      <c r="G61" s="8"/>
      <c r="H61" s="8"/>
      <c r="I61" s="8"/>
      <c r="J61" s="8"/>
      <c r="K61" s="8"/>
      <c r="L61" s="8"/>
      <c r="M61" s="8"/>
      <c r="N61" s="9" t="str">
        <f>HYPERLINK("mailto:tannerbm@missouri.edu","Bryan Tanner")</f>
        <v>Bryan Tanner</v>
      </c>
      <c r="O61" s="10" t="str">
        <f>HYPERLINK("mailto:Cynthia.Kunkel@fda.hhs.gov","Cynthia Kunkel")</f>
        <v>Cynthia Kunkel</v>
      </c>
    </row>
    <row r="62" spans="1:15" ht="30" x14ac:dyDescent="0.25">
      <c r="A62" s="22" t="str">
        <f>HYPERLINK("http://www.webstercohealth.com/","Webster County Health Unit")</f>
        <v>Webster County Health Unit</v>
      </c>
      <c r="B62" s="23">
        <v>40934</v>
      </c>
      <c r="C62" s="24">
        <v>1</v>
      </c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5" t="str">
        <f>HYPERLINK("mailto:tbentley@webstercohealth.com","Tommy Bentley")</f>
        <v>Tommy Bentley</v>
      </c>
      <c r="O62" s="26" t="str">
        <f>HYPERLINK("mailto:Cynthia.Kunkel@fda.hhs.gov","Cynthia Kunkel")</f>
        <v>Cynthia Kunkel</v>
      </c>
    </row>
  </sheetData>
  <pageMargins left="0.15" right="0.15" top="0.25" bottom="0.25" header="0.05" footer="0.05"/>
  <pageSetup orientation="landscape" r:id="rId1"/>
  <tableParts count="1">
    <tablePart r:id="rId2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2F58E-9613-4053-9267-70660CFD8D76}">
  <sheetPr>
    <pageSetUpPr fitToPage="1"/>
  </sheetPr>
  <dimension ref="A1:O43"/>
  <sheetViews>
    <sheetView workbookViewId="0"/>
  </sheetViews>
  <sheetFormatPr defaultRowHeight="15" x14ac:dyDescent="0.25"/>
  <cols>
    <col min="1" max="1" width="33.7109375" customWidth="1"/>
    <col min="2" max="2" width="14.85546875" customWidth="1"/>
    <col min="3" max="3" width="18.42578125" customWidth="1"/>
    <col min="4" max="4" width="22" customWidth="1"/>
    <col min="5" max="13" width="17.28515625" customWidth="1"/>
    <col min="14" max="14" width="14.85546875" customWidth="1"/>
    <col min="15" max="15" width="13.140625" customWidth="1"/>
  </cols>
  <sheetData>
    <row r="1" spans="1:15" x14ac:dyDescent="0.25">
      <c r="A1" t="s">
        <v>1102</v>
      </c>
      <c r="B1" s="2" t="str">
        <f>HYPERLINK("#Introduction!A1","Back to Introduction Page")</f>
        <v>Back to Introduction Page</v>
      </c>
    </row>
    <row r="2" spans="1:15" x14ac:dyDescent="0.25">
      <c r="A2" s="21" t="s">
        <v>1103</v>
      </c>
    </row>
    <row r="3" spans="1:15" ht="45" x14ac:dyDescent="0.25">
      <c r="A3" s="4" t="s">
        <v>15</v>
      </c>
      <c r="B3" s="3" t="s">
        <v>16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21</v>
      </c>
      <c r="H3" s="3" t="s">
        <v>22</v>
      </c>
      <c r="I3" s="3" t="s">
        <v>23</v>
      </c>
      <c r="J3" s="3" t="s">
        <v>24</v>
      </c>
      <c r="K3" s="3" t="s">
        <v>25</v>
      </c>
      <c r="L3" s="3" t="s">
        <v>26</v>
      </c>
      <c r="M3" s="3" t="s">
        <v>27</v>
      </c>
      <c r="N3" s="3" t="s">
        <v>28</v>
      </c>
      <c r="O3" s="5" t="s">
        <v>29</v>
      </c>
    </row>
    <row r="4" spans="1:15" x14ac:dyDescent="0.25">
      <c r="A4" s="28" t="s">
        <v>1049</v>
      </c>
      <c r="B4" s="7">
        <v>39037</v>
      </c>
      <c r="C4" s="8">
        <v>1</v>
      </c>
      <c r="D4" s="8"/>
      <c r="E4" s="8"/>
      <c r="F4" s="8"/>
      <c r="G4" s="8"/>
      <c r="H4" s="8"/>
      <c r="I4" s="8"/>
      <c r="J4" s="8"/>
      <c r="K4" s="8"/>
      <c r="L4" s="8"/>
      <c r="M4" s="8"/>
      <c r="N4" s="9" t="str">
        <f>HYPERLINK("mailto:jlethert@co.broadwater.mt.us","Julie Lethert")</f>
        <v>Julie Lethert</v>
      </c>
      <c r="O4" s="10" t="str">
        <f>HYPERLINK("mailto:Brad.Tufto@fda.hhs.gov","Bradley Tufto")</f>
        <v>Bradley Tufto</v>
      </c>
    </row>
    <row r="5" spans="1:15" ht="30" x14ac:dyDescent="0.25">
      <c r="A5" s="28" t="s">
        <v>1049</v>
      </c>
      <c r="B5" s="7">
        <v>39037</v>
      </c>
      <c r="C5" s="8">
        <v>2</v>
      </c>
      <c r="D5" s="7">
        <v>43273</v>
      </c>
      <c r="E5" s="8" t="s">
        <v>1050</v>
      </c>
      <c r="F5" s="8"/>
      <c r="G5" s="8"/>
      <c r="H5" s="8"/>
      <c r="I5" s="8"/>
      <c r="J5" s="8"/>
      <c r="K5" s="8"/>
      <c r="L5" s="8"/>
      <c r="M5" s="8"/>
      <c r="N5" s="8" t="s">
        <v>455</v>
      </c>
      <c r="O5" s="10" t="str">
        <f>HYPERLINK("mailto:Brad.Tufto@fda.hhs.gov","Bradley Tufto")</f>
        <v>Bradley Tufto</v>
      </c>
    </row>
    <row r="6" spans="1:15" ht="30" x14ac:dyDescent="0.25">
      <c r="A6" s="11" t="str">
        <f>HYPERLINK("http://www.co.silverbow.mt.us/departments/community_services.asp#health","Butte-Silverbow Department of Health")</f>
        <v>Butte-Silverbow Department of Health</v>
      </c>
      <c r="B6" s="12">
        <v>38180</v>
      </c>
      <c r="C6" s="13">
        <v>1</v>
      </c>
      <c r="D6" s="12">
        <v>38448</v>
      </c>
      <c r="E6" s="13"/>
      <c r="F6" s="13"/>
      <c r="G6" s="13" t="s">
        <v>1051</v>
      </c>
      <c r="H6" s="13"/>
      <c r="I6" s="13"/>
      <c r="J6" s="13"/>
      <c r="K6" s="13" t="s">
        <v>1051</v>
      </c>
      <c r="L6" s="13"/>
      <c r="M6" s="13"/>
      <c r="N6" s="14" t="str">
        <f>HYPERLINK("mailto:jrolich@bsb.mt.gov","John Rolich")</f>
        <v>John Rolich</v>
      </c>
      <c r="O6" s="15" t="str">
        <f>HYPERLINK("mailto:Brad.Tufto@fda.hhs.gov","Bradley Tufto")</f>
        <v>Bradley Tufto</v>
      </c>
    </row>
    <row r="7" spans="1:15" ht="30" x14ac:dyDescent="0.25">
      <c r="A7" s="11" t="str">
        <f>HYPERLINK("http://www.co.silverbow.mt.us/departments/community_services.asp#health","Butte-Silverbow Department of Health")</f>
        <v>Butte-Silverbow Department of Health</v>
      </c>
      <c r="B7" s="12">
        <v>38180</v>
      </c>
      <c r="C7" s="13">
        <v>2</v>
      </c>
      <c r="D7" s="12">
        <v>41443</v>
      </c>
      <c r="E7" s="13" t="s">
        <v>1052</v>
      </c>
      <c r="F7" s="13"/>
      <c r="G7" s="13" t="s">
        <v>1053</v>
      </c>
      <c r="H7" s="13"/>
      <c r="I7" s="13"/>
      <c r="J7" s="13"/>
      <c r="K7" s="13" t="s">
        <v>1054</v>
      </c>
      <c r="L7" s="13"/>
      <c r="M7" s="13"/>
      <c r="N7" s="14" t="str">
        <f>HYPERLINK("mailto:jrolich@bsb.mt.gov","John Rolich")</f>
        <v>John Rolich</v>
      </c>
      <c r="O7" s="15" t="str">
        <f>HYPERLINK("mailto:Brad.Tufto@fda.hhs.gov","Bradley Tufto")</f>
        <v>Bradley Tufto</v>
      </c>
    </row>
    <row r="8" spans="1:15" ht="30" x14ac:dyDescent="0.25">
      <c r="A8" s="28" t="s">
        <v>1055</v>
      </c>
      <c r="B8" s="7">
        <v>39875</v>
      </c>
      <c r="C8" s="8">
        <v>1</v>
      </c>
      <c r="D8" s="8"/>
      <c r="E8" s="8"/>
      <c r="F8" s="8"/>
      <c r="G8" s="8"/>
      <c r="H8" s="8"/>
      <c r="I8" s="8"/>
      <c r="J8" s="8"/>
      <c r="K8" s="8"/>
      <c r="L8" s="8"/>
      <c r="M8" s="8"/>
      <c r="N8" s="9" t="str">
        <f>HYPERLINK("mailto:rgnerer@rangeweb.net","Renee Higgins-Gnerer")</f>
        <v>Renee Higgins-Gnerer</v>
      </c>
      <c r="O8" s="10" t="str">
        <f>HYPERLINK("mailto:Brad.Tufto@fda.hhs.gov","Bradley Tufto")</f>
        <v>Bradley Tufto</v>
      </c>
    </row>
    <row r="9" spans="1:15" ht="30" x14ac:dyDescent="0.25">
      <c r="A9" s="11" t="str">
        <f>HYPERLINK("http://www.cchdmt.org/","Cascade City County Health Department CCHD")</f>
        <v>Cascade City County Health Department CCHD</v>
      </c>
      <c r="B9" s="12">
        <v>38281</v>
      </c>
      <c r="C9" s="13">
        <v>1</v>
      </c>
      <c r="D9" s="12">
        <v>38726</v>
      </c>
      <c r="E9" s="13"/>
      <c r="F9" s="13"/>
      <c r="G9" s="13"/>
      <c r="H9" s="13"/>
      <c r="I9" s="13"/>
      <c r="J9" s="13"/>
      <c r="K9" s="13"/>
      <c r="L9" s="13"/>
      <c r="M9" s="13"/>
      <c r="N9" s="14" t="str">
        <f>HYPERLINK("mailto:sjohnson@casecadecountymt.gov","Sandy Johnson")</f>
        <v>Sandy Johnson</v>
      </c>
      <c r="O9" s="15" t="str">
        <f>HYPERLINK("mailto:Brad.Tufto@fda.hhs.gov","Bradley Tufto")</f>
        <v>Bradley Tufto</v>
      </c>
    </row>
    <row r="10" spans="1:15" ht="30" x14ac:dyDescent="0.25">
      <c r="A10" s="11" t="str">
        <f>HYPERLINK("http://www.cchdmt.org/","Cascade City County Health Department CCHD")</f>
        <v>Cascade City County Health Department CCHD</v>
      </c>
      <c r="B10" s="12">
        <v>38281</v>
      </c>
      <c r="C10" s="13">
        <v>2</v>
      </c>
      <c r="D10" s="12">
        <v>40389</v>
      </c>
      <c r="E10" s="13"/>
      <c r="F10" s="13"/>
      <c r="G10" s="13"/>
      <c r="H10" s="13"/>
      <c r="I10" s="13"/>
      <c r="J10" s="13"/>
      <c r="K10" s="13"/>
      <c r="L10" s="13"/>
      <c r="M10" s="13"/>
      <c r="N10" s="14" t="str">
        <f>HYPERLINK("mailto:sjohnson@casecadecountymt.gov","Sandy Johnson")</f>
        <v>Sandy Johnson</v>
      </c>
      <c r="O10" s="15" t="str">
        <f>HYPERLINK("mailto:Brad.Tufto@fda.hhs.gov","Bradley Tufto")</f>
        <v>Bradley Tufto</v>
      </c>
    </row>
    <row r="11" spans="1:15" ht="30" x14ac:dyDescent="0.25">
      <c r="A11" s="11" t="str">
        <f>HYPERLINK("http://www.cchdmt.org/","Cascade City County Health Department CCHD")</f>
        <v>Cascade City County Health Department CCHD</v>
      </c>
      <c r="B11" s="12">
        <v>38281</v>
      </c>
      <c r="C11" s="13">
        <v>3</v>
      </c>
      <c r="D11" s="12">
        <v>42545</v>
      </c>
      <c r="E11" s="13" t="s">
        <v>1056</v>
      </c>
      <c r="F11" s="13"/>
      <c r="G11" s="13"/>
      <c r="H11" s="13"/>
      <c r="I11" s="13"/>
      <c r="J11" s="13"/>
      <c r="K11" s="13"/>
      <c r="L11" s="13"/>
      <c r="M11" s="13"/>
      <c r="N11" s="14" t="str">
        <f>HYPERLINK("mailto:sjohnson@casecadecountymt.gov","Sandy Johnson")</f>
        <v>Sandy Johnson</v>
      </c>
      <c r="O11" s="15" t="str">
        <f>HYPERLINK("mailto:Brad.Tufto@fda.hhs.gov","Bradley Tufto")</f>
        <v>Bradley Tufto</v>
      </c>
    </row>
    <row r="12" spans="1:15" x14ac:dyDescent="0.25">
      <c r="A12" s="28" t="s">
        <v>1057</v>
      </c>
      <c r="B12" s="7">
        <v>37776</v>
      </c>
      <c r="C12" s="8">
        <v>1</v>
      </c>
      <c r="D12" s="7">
        <v>38168</v>
      </c>
      <c r="E12" s="8" t="s">
        <v>1058</v>
      </c>
      <c r="F12" s="8"/>
      <c r="G12" s="8"/>
      <c r="H12" s="8" t="s">
        <v>1058</v>
      </c>
      <c r="I12" s="8" t="s">
        <v>1058</v>
      </c>
      <c r="J12" s="8" t="s">
        <v>1058</v>
      </c>
      <c r="K12" s="8" t="s">
        <v>1058</v>
      </c>
      <c r="L12" s="8"/>
      <c r="M12" s="8"/>
      <c r="N12" s="9" t="str">
        <f>HYPERLINK("mailto:Deborah.Haine@mail.ihs.gov","Currently Vacant")</f>
        <v>Currently Vacant</v>
      </c>
      <c r="O12" s="10" t="str">
        <f>HYPERLINK("mailto:Brad.Tufto@fda.hhs.gov","Bradley Tufto")</f>
        <v>Bradley Tufto</v>
      </c>
    </row>
    <row r="13" spans="1:15" ht="30" x14ac:dyDescent="0.25">
      <c r="A13" s="29" t="s">
        <v>1059</v>
      </c>
      <c r="B13" s="12">
        <v>38952</v>
      </c>
      <c r="C13" s="13">
        <v>1</v>
      </c>
      <c r="D13" s="12">
        <v>39335</v>
      </c>
      <c r="E13" s="13"/>
      <c r="F13" s="13" t="s">
        <v>1060</v>
      </c>
      <c r="G13" s="13"/>
      <c r="H13" s="13"/>
      <c r="I13" s="13"/>
      <c r="J13" s="13"/>
      <c r="K13" s="13"/>
      <c r="L13" s="13"/>
      <c r="M13" s="13"/>
      <c r="N13" s="14" t="str">
        <f>HYPERLINK("mailto:cshipp@valleycountymt.gov","Cameron Shipp")</f>
        <v>Cameron Shipp</v>
      </c>
      <c r="O13" s="15" t="str">
        <f>HYPERLINK("mailto:Brad.Tufto@fda.hhs.gov","Bradley Tufto")</f>
        <v>Bradley Tufto</v>
      </c>
    </row>
    <row r="14" spans="1:15" ht="30" x14ac:dyDescent="0.25">
      <c r="A14" s="28" t="s">
        <v>1061</v>
      </c>
      <c r="B14" s="7">
        <v>38953</v>
      </c>
      <c r="C14" s="8">
        <v>1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9" t="str">
        <f>HYPERLINK("mailto:fcsanitarian@midrivers.com","Richard Menger")</f>
        <v>Richard Menger</v>
      </c>
      <c r="O14" s="10" t="str">
        <f>HYPERLINK("mailto:Brad.Tufto@fda.hhs.gov","Bradley Tufto")</f>
        <v>Bradley Tufto</v>
      </c>
    </row>
    <row r="15" spans="1:15" ht="30" x14ac:dyDescent="0.25">
      <c r="A15" s="11" t="str">
        <f>HYPERLINK("http://flathead.mt.gov/health/","Flathead City/County Health Department")</f>
        <v>Flathead City/County Health Department</v>
      </c>
      <c r="B15" s="12">
        <v>41547</v>
      </c>
      <c r="C15" s="13">
        <v>1</v>
      </c>
      <c r="D15" s="12">
        <v>41670</v>
      </c>
      <c r="E15" s="13"/>
      <c r="F15" s="13"/>
      <c r="G15" s="13"/>
      <c r="H15" s="13"/>
      <c r="I15" s="13"/>
      <c r="J15" s="13"/>
      <c r="K15" s="13"/>
      <c r="L15" s="13"/>
      <c r="M15" s="13"/>
      <c r="N15" s="13" t="s">
        <v>1062</v>
      </c>
      <c r="O15" s="15" t="str">
        <f>HYPERLINK("mailto:Brad.Tufto@fda.hhs.gov","Bradley Tufto")</f>
        <v>Bradley Tufto</v>
      </c>
    </row>
    <row r="16" spans="1:15" ht="30" x14ac:dyDescent="0.25">
      <c r="A16" s="11" t="str">
        <f>HYPERLINK("http://flathead.mt.gov/health/","Flathead City/County Health Department")</f>
        <v>Flathead City/County Health Department</v>
      </c>
      <c r="B16" s="12">
        <v>41547</v>
      </c>
      <c r="C16" s="13">
        <v>2</v>
      </c>
      <c r="D16" s="12">
        <v>42604</v>
      </c>
      <c r="E16" s="13" t="s">
        <v>1063</v>
      </c>
      <c r="F16" s="13"/>
      <c r="G16" s="13"/>
      <c r="H16" s="13"/>
      <c r="I16" s="13"/>
      <c r="J16" s="13"/>
      <c r="K16" s="13"/>
      <c r="L16" s="13"/>
      <c r="M16" s="13"/>
      <c r="N16" s="14" t="str">
        <f>HYPERLINK("mailto:hhanson@flathead.mt.gov","Hillary Hanson")</f>
        <v>Hillary Hanson</v>
      </c>
      <c r="O16" s="15" t="str">
        <f>HYPERLINK("mailto:Brad.Tufto@fda.hhs.gov","Bradley Tufto")</f>
        <v>Bradley Tufto</v>
      </c>
    </row>
    <row r="17" spans="1:15" ht="30" x14ac:dyDescent="0.25">
      <c r="A17" s="28" t="s">
        <v>1064</v>
      </c>
      <c r="B17" s="7">
        <v>42681</v>
      </c>
      <c r="C17" s="8">
        <v>1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9" t="str">
        <f>HYPERLINK("mailto:lori.Christenson@gallatin.mt.gov","Lori Christenson")</f>
        <v>Lori Christenson</v>
      </c>
      <c r="O17" s="10" t="str">
        <f>HYPERLINK("mailto:Brad.Tufto@fda.hhs.gov","Bradley Tufto")</f>
        <v>Bradley Tufto</v>
      </c>
    </row>
    <row r="18" spans="1:15" ht="30" x14ac:dyDescent="0.25">
      <c r="A18" s="29" t="s">
        <v>1065</v>
      </c>
      <c r="B18" s="12">
        <v>38362</v>
      </c>
      <c r="C18" s="13">
        <v>1</v>
      </c>
      <c r="D18" s="12">
        <v>38714</v>
      </c>
      <c r="E18" s="13" t="s">
        <v>1066</v>
      </c>
      <c r="F18" s="13"/>
      <c r="G18" s="13"/>
      <c r="H18" s="13"/>
      <c r="I18" s="13"/>
      <c r="J18" s="13"/>
      <c r="K18" s="13" t="s">
        <v>1067</v>
      </c>
      <c r="L18" s="13"/>
      <c r="M18" s="13"/>
      <c r="N18" s="14" t="str">
        <f>HYPERLINK("mailto:dluke@lakemt.gov","Diana Luke")</f>
        <v>Diana Luke</v>
      </c>
      <c r="O18" s="15" t="str">
        <f>HYPERLINK("mailto:Brad.Tufto@fda.hhs.gov","Bradley Tufto")</f>
        <v>Bradley Tufto</v>
      </c>
    </row>
    <row r="19" spans="1:15" ht="30" x14ac:dyDescent="0.25">
      <c r="A19" s="6" t="str">
        <f>HYPERLINK("http://www.lewisandclarkhealth.org","Lewis &amp; Clark City-County Health Department")</f>
        <v>Lewis &amp; Clark City-County Health Department</v>
      </c>
      <c r="B19" s="7">
        <v>39174</v>
      </c>
      <c r="C19" s="8">
        <v>1</v>
      </c>
      <c r="D19" s="7">
        <v>39540</v>
      </c>
      <c r="E19" s="8"/>
      <c r="F19" s="8"/>
      <c r="G19" s="8"/>
      <c r="H19" s="8"/>
      <c r="I19" s="8"/>
      <c r="J19" s="8"/>
      <c r="K19" s="8"/>
      <c r="L19" s="8"/>
      <c r="M19" s="8"/>
      <c r="N19" s="9" t="str">
        <f>HYPERLINK("mailto:lriek@lccountymt.gov","Laurel Riek")</f>
        <v>Laurel Riek</v>
      </c>
      <c r="O19" s="10" t="str">
        <f>HYPERLINK("mailto:Brad.Tufto@fda.hhs.gov","Bradley Tufto")</f>
        <v>Bradley Tufto</v>
      </c>
    </row>
    <row r="20" spans="1:15" ht="30" x14ac:dyDescent="0.25">
      <c r="A20" s="6" t="str">
        <f>HYPERLINK("http://www.lewisandclarkhealth.org","Lewis &amp; Clark City-County Health Department")</f>
        <v>Lewis &amp; Clark City-County Health Department</v>
      </c>
      <c r="B20" s="7">
        <v>39174</v>
      </c>
      <c r="C20" s="8">
        <v>2</v>
      </c>
      <c r="D20" s="7">
        <v>42642</v>
      </c>
      <c r="E20" s="8" t="s">
        <v>1068</v>
      </c>
      <c r="F20" s="8"/>
      <c r="G20" s="8"/>
      <c r="H20" s="8"/>
      <c r="I20" s="8"/>
      <c r="J20" s="8"/>
      <c r="K20" s="8"/>
      <c r="L20" s="8"/>
      <c r="M20" s="8"/>
      <c r="N20" s="9" t="str">
        <f>HYPERLINK("mailto:lriek@lccountymt.gov","Laurel Riek")</f>
        <v>Laurel Riek</v>
      </c>
      <c r="O20" s="10" t="str">
        <f>HYPERLINK("mailto:Brad.Tufto@fda.hhs.gov","Bradley Tufto")</f>
        <v>Bradley Tufto</v>
      </c>
    </row>
    <row r="21" spans="1:15" x14ac:dyDescent="0.25">
      <c r="A21" s="29" t="s">
        <v>1069</v>
      </c>
      <c r="B21" s="12">
        <v>42283</v>
      </c>
      <c r="C21" s="13">
        <v>1</v>
      </c>
      <c r="D21" s="12">
        <v>42277</v>
      </c>
      <c r="E21" s="13" t="s">
        <v>1070</v>
      </c>
      <c r="F21" s="13"/>
      <c r="G21" s="13"/>
      <c r="H21" s="13"/>
      <c r="I21" s="13"/>
      <c r="J21" s="13"/>
      <c r="K21" s="13"/>
      <c r="L21" s="13"/>
      <c r="M21" s="13"/>
      <c r="N21" s="14" t="str">
        <f>HYPERLINK("mailto:Sarahrobbin1@gmail.com","Sarah Robbin")</f>
        <v>Sarah Robbin</v>
      </c>
      <c r="O21" s="15" t="str">
        <f>HYPERLINK("mailto:Brad.Tufto@fda.hhs.gov","Bradley Tufto")</f>
        <v>Bradley Tufto</v>
      </c>
    </row>
    <row r="22" spans="1:15" ht="30" x14ac:dyDescent="0.25">
      <c r="A22" s="28" t="s">
        <v>1071</v>
      </c>
      <c r="B22" s="7">
        <v>39566</v>
      </c>
      <c r="C22" s="8">
        <v>1</v>
      </c>
      <c r="D22" s="7">
        <v>40430</v>
      </c>
      <c r="E22" s="8" t="s">
        <v>1072</v>
      </c>
      <c r="F22" s="8"/>
      <c r="G22" s="8"/>
      <c r="H22" s="8"/>
      <c r="I22" s="8"/>
      <c r="J22" s="8"/>
      <c r="K22" s="8"/>
      <c r="L22" s="8"/>
      <c r="M22" s="8"/>
      <c r="N22" s="9" t="str">
        <f>HYPERLINK("mailto:khooper@libby.org","Kathi Hooper")</f>
        <v>Kathi Hooper</v>
      </c>
      <c r="O22" s="10" t="str">
        <f>HYPERLINK("mailto:Brad.Tufto@fda.hhs.gov","Bradley Tufto")</f>
        <v>Bradley Tufto</v>
      </c>
    </row>
    <row r="23" spans="1:15" ht="30" x14ac:dyDescent="0.25">
      <c r="A23" s="29" t="s">
        <v>1073</v>
      </c>
      <c r="B23" s="12">
        <v>40750</v>
      </c>
      <c r="C23" s="13">
        <v>1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4" t="str">
        <f>HYPERLINK("mailto:vpuckett@madisoncountymt.gov","Van Puckett")</f>
        <v>Van Puckett</v>
      </c>
      <c r="O23" s="15" t="str">
        <f>HYPERLINK("mailto:Brad.Tufto@fda.hhs.gov","Bradley Tufto")</f>
        <v>Bradley Tufto</v>
      </c>
    </row>
    <row r="24" spans="1:15" x14ac:dyDescent="0.25">
      <c r="A24" s="28" t="s">
        <v>1074</v>
      </c>
      <c r="B24" s="7">
        <v>40721</v>
      </c>
      <c r="C24" s="8">
        <v>1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9" t="str">
        <f>HYPERLINK("mailto:seanhill2009@gmail.com","Sean Hill")</f>
        <v>Sean Hill</v>
      </c>
      <c r="O24" s="10" t="str">
        <f>HYPERLINK("mailto:Brad.Tufto@fda.hhs.gov","Bradley Tufto")</f>
        <v>Bradley Tufto</v>
      </c>
    </row>
    <row r="25" spans="1:15" ht="30" x14ac:dyDescent="0.25">
      <c r="A25" s="11" t="str">
        <f>HYPERLINK("www.missoulacounty.us/foodservice","Missoula City County Health Department")</f>
        <v>Missoula City County Health Department</v>
      </c>
      <c r="B25" s="12">
        <v>43364</v>
      </c>
      <c r="C25" s="13">
        <v>1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4" t="str">
        <f>HYPERLINK("mailto:ajohnson@missoulacounty.us","Alisha Johnson")</f>
        <v>Alisha Johnson</v>
      </c>
      <c r="O25" s="15" t="str">
        <f>HYPERLINK("mailto:Brad.Tufto@fda.hhs.gov","Bradley Tufto")</f>
        <v>Bradley Tufto</v>
      </c>
    </row>
    <row r="26" spans="1:15" ht="30" x14ac:dyDescent="0.25">
      <c r="A26" s="6" t="str">
        <f>HYPERLINK("http://www.dphhs.state.mt.us/","Montana Department of Health and Human Services")</f>
        <v>Montana Department of Health and Human Services</v>
      </c>
      <c r="B26" s="7">
        <v>37160</v>
      </c>
      <c r="C26" s="8">
        <v>1</v>
      </c>
      <c r="D26" s="7">
        <v>38124</v>
      </c>
      <c r="E26" s="8"/>
      <c r="F26" s="8" t="s">
        <v>1075</v>
      </c>
      <c r="G26" s="8"/>
      <c r="H26" s="8"/>
      <c r="I26" s="8"/>
      <c r="J26" s="8"/>
      <c r="K26" s="8"/>
      <c r="L26" s="8"/>
      <c r="M26" s="8"/>
      <c r="N26" s="9" t="str">
        <f>HYPERLINK("mailto:EEvanson@mt.gov","Ed Evanson")</f>
        <v>Ed Evanson</v>
      </c>
      <c r="O26" s="10" t="str">
        <f>HYPERLINK("mailto:Brad.Tufto@fda.hhs.gov","Bradley Tufto")</f>
        <v>Bradley Tufto</v>
      </c>
    </row>
    <row r="27" spans="1:15" ht="30" x14ac:dyDescent="0.25">
      <c r="A27" s="6" t="str">
        <f>HYPERLINK("http://www.dphhs.state.mt.us/","Montana Department of Health and Human Services")</f>
        <v>Montana Department of Health and Human Services</v>
      </c>
      <c r="B27" s="7">
        <v>37160</v>
      </c>
      <c r="C27" s="8">
        <v>2</v>
      </c>
      <c r="D27" s="7">
        <v>40214</v>
      </c>
      <c r="E27" s="8"/>
      <c r="F27" s="8"/>
      <c r="G27" s="8"/>
      <c r="H27" s="8"/>
      <c r="I27" s="8"/>
      <c r="J27" s="8"/>
      <c r="K27" s="8"/>
      <c r="L27" s="8"/>
      <c r="M27" s="8"/>
      <c r="N27" s="9" t="str">
        <f>HYPERLINK("mailto:EEvanson@mt.gov","Ed Evanson")</f>
        <v>Ed Evanson</v>
      </c>
      <c r="O27" s="10" t="str">
        <f>HYPERLINK("mailto:Brad.Tufto@fda.hhs.gov","Bradley Tufto")</f>
        <v>Bradley Tufto</v>
      </c>
    </row>
    <row r="28" spans="1:15" x14ac:dyDescent="0.25">
      <c r="A28" s="11" t="str">
        <f>HYPERLINK("http://www.montana.edu/ufs/","Montana State University")</f>
        <v>Montana State University</v>
      </c>
      <c r="B28" s="12">
        <v>38946</v>
      </c>
      <c r="C28" s="13">
        <v>1</v>
      </c>
      <c r="D28" s="12">
        <v>39473</v>
      </c>
      <c r="E28" s="13"/>
      <c r="F28" s="13" t="s">
        <v>1076</v>
      </c>
      <c r="G28" s="13"/>
      <c r="H28" s="13"/>
      <c r="I28" s="13" t="s">
        <v>1076</v>
      </c>
      <c r="J28" s="13"/>
      <c r="K28" s="13"/>
      <c r="L28" s="13" t="s">
        <v>1076</v>
      </c>
      <c r="M28" s="13"/>
      <c r="N28" s="14" t="str">
        <f>HYPERLINK("mailto:dustin.schreiner@montana.edu","Dustin Schreiner")</f>
        <v>Dustin Schreiner</v>
      </c>
      <c r="O28" s="15" t="str">
        <f>HYPERLINK("mailto:Brad.Tufto@fda.hhs.gov","Bradley Tufto")</f>
        <v>Bradley Tufto</v>
      </c>
    </row>
    <row r="29" spans="1:15" ht="30" x14ac:dyDescent="0.25">
      <c r="A29" s="6" t="str">
        <f>HYPERLINK("http://www.ponderacounty.org","Pondera County Environmental Health")</f>
        <v>Pondera County Environmental Health</v>
      </c>
      <c r="B29" s="7">
        <v>38951</v>
      </c>
      <c r="C29" s="8">
        <v>1</v>
      </c>
      <c r="D29" s="7">
        <v>39442</v>
      </c>
      <c r="E29" s="8"/>
      <c r="F29" s="8" t="s">
        <v>1077</v>
      </c>
      <c r="G29" s="8"/>
      <c r="H29" s="8"/>
      <c r="I29" s="8"/>
      <c r="J29" s="8"/>
      <c r="K29" s="8" t="s">
        <v>1078</v>
      </c>
      <c r="L29" s="8" t="s">
        <v>1078</v>
      </c>
      <c r="M29" s="8"/>
      <c r="N29" s="9" t="str">
        <f>HYPERLINK("mailto:sanitarian@ponderacounty.org","Corrine Rose")</f>
        <v>Corrine Rose</v>
      </c>
      <c r="O29" s="10" t="str">
        <f>HYPERLINK("mailto:Brad.Tufto@fda.hhs.gov","Bradley Tufto")</f>
        <v>Bradley Tufto</v>
      </c>
    </row>
    <row r="30" spans="1:15" ht="30" x14ac:dyDescent="0.25">
      <c r="A30" s="6" t="str">
        <f>HYPERLINK("http://www.ponderacounty.org","Pondera County Environmental Health")</f>
        <v>Pondera County Environmental Health</v>
      </c>
      <c r="B30" s="7">
        <v>38951</v>
      </c>
      <c r="C30" s="8">
        <v>2</v>
      </c>
      <c r="D30" s="7">
        <v>42074</v>
      </c>
      <c r="E30" s="8" t="s">
        <v>1079</v>
      </c>
      <c r="F30" s="8" t="s">
        <v>1080</v>
      </c>
      <c r="G30" s="8"/>
      <c r="H30" s="8"/>
      <c r="I30" s="8"/>
      <c r="J30" s="8"/>
      <c r="K30" s="8"/>
      <c r="L30" s="8" t="s">
        <v>1081</v>
      </c>
      <c r="M30" s="8"/>
      <c r="N30" s="9" t="str">
        <f>HYPERLINK("mailto:sanitarian@ponderacounty.org","Corrine Rose")</f>
        <v>Corrine Rose</v>
      </c>
      <c r="O30" s="10" t="str">
        <f>HYPERLINK("mailto:Brad.Tufto@fda.hhs.gov","Bradley Tufto")</f>
        <v>Bradley Tufto</v>
      </c>
    </row>
    <row r="31" spans="1:15" x14ac:dyDescent="0.25">
      <c r="A31" s="29" t="s">
        <v>1082</v>
      </c>
      <c r="B31" s="12">
        <v>39923</v>
      </c>
      <c r="C31" s="13">
        <v>1</v>
      </c>
      <c r="D31" s="12">
        <v>40375</v>
      </c>
      <c r="E31" s="13"/>
      <c r="F31" s="13" t="s">
        <v>1083</v>
      </c>
      <c r="G31" s="13"/>
      <c r="H31" s="13"/>
      <c r="I31" s="13"/>
      <c r="J31" s="13"/>
      <c r="K31" s="13"/>
      <c r="L31" s="13"/>
      <c r="M31" s="13"/>
      <c r="N31" s="14" t="str">
        <f>HYPERLINK("mailto:jfrase@rc.mt.gov","Jenni Frase")</f>
        <v>Jenni Frase</v>
      </c>
      <c r="O31" s="15" t="str">
        <f>HYPERLINK("mailto:Brad.Tufto@fda.hhs.gov","Bradley Tufto")</f>
        <v>Bradley Tufto</v>
      </c>
    </row>
    <row r="32" spans="1:15" x14ac:dyDescent="0.25">
      <c r="A32" s="6" t="str">
        <f>HYPERLINK("http://www.riverstonehealth.org/","Riverstone Health")</f>
        <v>Riverstone Health</v>
      </c>
      <c r="B32" s="7">
        <v>37749</v>
      </c>
      <c r="C32" s="8">
        <v>1</v>
      </c>
      <c r="D32" s="7">
        <v>38168</v>
      </c>
      <c r="E32" s="8"/>
      <c r="F32" s="8"/>
      <c r="G32" s="8"/>
      <c r="H32" s="8"/>
      <c r="I32" s="8"/>
      <c r="J32" s="8"/>
      <c r="K32" s="8" t="s">
        <v>1084</v>
      </c>
      <c r="L32" s="8"/>
      <c r="M32" s="8"/>
      <c r="N32" s="9" t="str">
        <f>HYPERLINK("mailto:Marilyn.Tap@riverstonehealth.org","Marilyn Tapia")</f>
        <v>Marilyn Tapia</v>
      </c>
      <c r="O32" s="10" t="str">
        <f>HYPERLINK("mailto:Brad.Tufto@fda.hhs.gov","Bradley Tufto")</f>
        <v>Bradley Tufto</v>
      </c>
    </row>
    <row r="33" spans="1:15" x14ac:dyDescent="0.25">
      <c r="A33" s="6" t="str">
        <f>HYPERLINK("http://www.riverstonehealth.org/","Riverstone Health")</f>
        <v>Riverstone Health</v>
      </c>
      <c r="B33" s="7">
        <v>37749</v>
      </c>
      <c r="C33" s="8">
        <v>2</v>
      </c>
      <c r="D33" s="7">
        <v>41100</v>
      </c>
      <c r="E33" s="8"/>
      <c r="F33" s="8"/>
      <c r="G33" s="8"/>
      <c r="H33" s="8"/>
      <c r="I33" s="8"/>
      <c r="J33" s="8"/>
      <c r="K33" s="8" t="s">
        <v>1085</v>
      </c>
      <c r="L33" s="8"/>
      <c r="M33" s="8" t="s">
        <v>1085</v>
      </c>
      <c r="N33" s="9" t="str">
        <f>HYPERLINK("mailto:Marilyn.Tap@riverstonehealth.org","Marilyn Tapia")</f>
        <v>Marilyn Tapia</v>
      </c>
      <c r="O33" s="10" t="str">
        <f>HYPERLINK("mailto:Brad.Tufto@fda.hhs.gov","Bradley Tufto")</f>
        <v>Bradley Tufto</v>
      </c>
    </row>
    <row r="34" spans="1:15" x14ac:dyDescent="0.25">
      <c r="A34" s="6" t="str">
        <f>HYPERLINK("http://www.riverstonehealth.org/","Riverstone Health")</f>
        <v>Riverstone Health</v>
      </c>
      <c r="B34" s="7">
        <v>37749</v>
      </c>
      <c r="C34" s="8">
        <v>3</v>
      </c>
      <c r="D34" s="7">
        <v>42859</v>
      </c>
      <c r="E34" s="8" t="s">
        <v>1086</v>
      </c>
      <c r="F34" s="8"/>
      <c r="G34" s="8" t="s">
        <v>1087</v>
      </c>
      <c r="H34" s="8" t="s">
        <v>1088</v>
      </c>
      <c r="I34" s="8"/>
      <c r="J34" s="8"/>
      <c r="K34" s="8" t="s">
        <v>1089</v>
      </c>
      <c r="L34" s="8"/>
      <c r="M34" s="8" t="s">
        <v>1090</v>
      </c>
      <c r="N34" s="9" t="str">
        <f>HYPERLINK("mailto:Marilyn.Tap@riverstonehealth.org","Marilyn Tapia")</f>
        <v>Marilyn Tapia</v>
      </c>
      <c r="O34" s="10" t="str">
        <f>HYPERLINK("mailto:Brad.Tufto@fda.hhs.gov","Bradley Tufto")</f>
        <v>Bradley Tufto</v>
      </c>
    </row>
    <row r="35" spans="1:15" ht="30" x14ac:dyDescent="0.25">
      <c r="A35" s="11" t="str">
        <f>HYPERLINK("http://www.sanderscounty.mt.gov/Pages/EnviroHealth.html","Sanders County Environmental Health")</f>
        <v>Sanders County Environmental Health</v>
      </c>
      <c r="B35" s="12">
        <v>39839</v>
      </c>
      <c r="C35" s="13">
        <v>1</v>
      </c>
      <c r="D35" s="12">
        <v>41095</v>
      </c>
      <c r="E35" s="13" t="s">
        <v>1091</v>
      </c>
      <c r="F35" s="13"/>
      <c r="G35" s="13" t="s">
        <v>1092</v>
      </c>
      <c r="H35" s="13"/>
      <c r="I35" s="13"/>
      <c r="J35" s="13"/>
      <c r="K35" s="13"/>
      <c r="L35" s="13"/>
      <c r="M35" s="13"/>
      <c r="N35" s="14" t="str">
        <f>HYPERLINK("mailto:ssorenson@sanderscounty.mt.gov","Shawn Sorenson")</f>
        <v>Shawn Sorenson</v>
      </c>
      <c r="O35" s="15" t="str">
        <f>HYPERLINK("mailto:Brad.Tufto@fda.hhs.gov","Bradley Tufto")</f>
        <v>Bradley Tufto</v>
      </c>
    </row>
    <row r="36" spans="1:15" ht="30" x14ac:dyDescent="0.25">
      <c r="A36" s="28" t="s">
        <v>1093</v>
      </c>
      <c r="B36" s="7">
        <v>38952</v>
      </c>
      <c r="C36" s="8">
        <v>1</v>
      </c>
      <c r="D36" s="7">
        <v>39335</v>
      </c>
      <c r="E36" s="8"/>
      <c r="F36" s="8" t="s">
        <v>1060</v>
      </c>
      <c r="G36" s="8"/>
      <c r="H36" s="8"/>
      <c r="I36" s="8"/>
      <c r="J36" s="8"/>
      <c r="K36" s="8"/>
      <c r="L36" s="8"/>
      <c r="M36" s="8"/>
      <c r="N36" s="9" t="str">
        <f>HYPERLINK("mailto:cshipp@valleycountymt.gov","Cameron Shipp")</f>
        <v>Cameron Shipp</v>
      </c>
      <c r="O36" s="10" t="str">
        <f>HYPERLINK("mailto:Brad.Tufto@fda.hhs.gov","Bradley Tufto")</f>
        <v>Bradley Tufto</v>
      </c>
    </row>
    <row r="37" spans="1:15" ht="30" x14ac:dyDescent="0.25">
      <c r="A37" s="11" t="str">
        <f>HYPERLINK("http://www.stillwatercountymt.gov","Stillwater County Environmental Health")</f>
        <v>Stillwater County Environmental Health</v>
      </c>
      <c r="B37" s="12">
        <v>37782</v>
      </c>
      <c r="C37" s="13">
        <v>1</v>
      </c>
      <c r="D37" s="12">
        <v>38145</v>
      </c>
      <c r="E37" s="13"/>
      <c r="F37" s="13"/>
      <c r="G37" s="13"/>
      <c r="H37" s="13"/>
      <c r="I37" s="13"/>
      <c r="J37" s="13"/>
      <c r="K37" s="13"/>
      <c r="L37" s="13"/>
      <c r="M37" s="13"/>
      <c r="N37" s="13" t="s">
        <v>1094</v>
      </c>
      <c r="O37" s="15" t="str">
        <f>HYPERLINK("mailto:Brad.Tufto@fda.hhs.gov","Bradley Tufto")</f>
        <v>Bradley Tufto</v>
      </c>
    </row>
    <row r="38" spans="1:15" ht="30" x14ac:dyDescent="0.25">
      <c r="A38" s="11" t="str">
        <f>HYPERLINK("http://www.stillwatercountymt.gov","Stillwater County Environmental Health")</f>
        <v>Stillwater County Environmental Health</v>
      </c>
      <c r="B38" s="12">
        <v>37782</v>
      </c>
      <c r="C38" s="13">
        <v>2</v>
      </c>
      <c r="D38" s="12">
        <v>40737</v>
      </c>
      <c r="E38" s="13"/>
      <c r="F38" s="13"/>
      <c r="G38" s="13"/>
      <c r="H38" s="13"/>
      <c r="I38" s="13"/>
      <c r="J38" s="13"/>
      <c r="K38" s="13"/>
      <c r="L38" s="13"/>
      <c r="M38" s="13"/>
      <c r="N38" s="14" t="str">
        <f>HYPERLINK("mailto:kerryschmetzer@gmail.com","Kerry Schmelzer")</f>
        <v>Kerry Schmelzer</v>
      </c>
      <c r="O38" s="15" t="str">
        <f>HYPERLINK("mailto:Brad.Tufto@fda.hhs.gov","Bradley Tufto")</f>
        <v>Bradley Tufto</v>
      </c>
    </row>
    <row r="39" spans="1:15" ht="30" x14ac:dyDescent="0.25">
      <c r="A39" s="28" t="s">
        <v>1095</v>
      </c>
      <c r="B39" s="7">
        <v>38951</v>
      </c>
      <c r="C39" s="8">
        <v>1</v>
      </c>
      <c r="D39" s="7">
        <v>39442</v>
      </c>
      <c r="E39" s="8"/>
      <c r="F39" s="8" t="s">
        <v>1077</v>
      </c>
      <c r="G39" s="8"/>
      <c r="H39" s="8"/>
      <c r="I39" s="8"/>
      <c r="J39" s="8"/>
      <c r="K39" s="8" t="s">
        <v>1078</v>
      </c>
      <c r="L39" s="8" t="s">
        <v>1078</v>
      </c>
      <c r="M39" s="8"/>
      <c r="N39" s="9" t="str">
        <f>HYPERLINK("mailto:Sanitarian@3rivers.net","Austin Moyer")</f>
        <v>Austin Moyer</v>
      </c>
      <c r="O39" s="10" t="str">
        <f>HYPERLINK("mailto:Brad.Tufto@fda.hhs.gov","Bradley Tufto")</f>
        <v>Bradley Tufto</v>
      </c>
    </row>
    <row r="40" spans="1:15" ht="30" x14ac:dyDescent="0.25">
      <c r="A40" s="28" t="s">
        <v>1095</v>
      </c>
      <c r="B40" s="7">
        <v>38951</v>
      </c>
      <c r="C40" s="8">
        <v>2</v>
      </c>
      <c r="D40" s="7">
        <v>42074</v>
      </c>
      <c r="E40" s="8" t="s">
        <v>1079</v>
      </c>
      <c r="F40" s="8" t="s">
        <v>1081</v>
      </c>
      <c r="G40" s="8"/>
      <c r="H40" s="8"/>
      <c r="I40" s="8"/>
      <c r="J40" s="8"/>
      <c r="K40" s="8" t="s">
        <v>1081</v>
      </c>
      <c r="L40" s="8"/>
      <c r="M40" s="8"/>
      <c r="N40" s="9" t="str">
        <f>HYPERLINK("mailto:Sanitarian@3rivers.net","Austin Moyer")</f>
        <v>Austin Moyer</v>
      </c>
      <c r="O40" s="10" t="str">
        <f>HYPERLINK("mailto:Brad.Tufto@fda.hhs.gov","Bradley Tufto")</f>
        <v>Bradley Tufto</v>
      </c>
    </row>
    <row r="41" spans="1:15" ht="30" x14ac:dyDescent="0.25">
      <c r="A41" s="29" t="s">
        <v>1096</v>
      </c>
      <c r="B41" s="12">
        <v>38954</v>
      </c>
      <c r="C41" s="13">
        <v>1</v>
      </c>
      <c r="D41" s="12">
        <v>39503</v>
      </c>
      <c r="E41" s="13"/>
      <c r="F41" s="13"/>
      <c r="G41" s="13" t="s">
        <v>1097</v>
      </c>
      <c r="H41" s="13" t="s">
        <v>1097</v>
      </c>
      <c r="I41" s="13"/>
      <c r="J41" s="13"/>
      <c r="K41" s="13"/>
      <c r="L41" s="13"/>
      <c r="M41" s="13"/>
      <c r="N41" s="14" t="str">
        <f>HYPERLINK("mailto:clanes@anacondadeerlodge.mt.gov","Chad Lanes")</f>
        <v>Chad Lanes</v>
      </c>
      <c r="O41" s="15" t="str">
        <f>HYPERLINK("mailto:Brad.Tufto@fda.hhs.gov","Bradley Tufto")</f>
        <v>Bradley Tufto</v>
      </c>
    </row>
    <row r="42" spans="1:15" ht="30" x14ac:dyDescent="0.25">
      <c r="A42" s="29" t="s">
        <v>1096</v>
      </c>
      <c r="B42" s="12">
        <v>38954</v>
      </c>
      <c r="C42" s="13">
        <v>2</v>
      </c>
      <c r="D42" s="12">
        <v>42629</v>
      </c>
      <c r="E42" s="13" t="s">
        <v>1091</v>
      </c>
      <c r="F42" s="13" t="s">
        <v>1098</v>
      </c>
      <c r="G42" s="13"/>
      <c r="H42" s="13"/>
      <c r="I42" s="13"/>
      <c r="J42" s="13"/>
      <c r="K42" s="13"/>
      <c r="L42" s="13"/>
      <c r="M42" s="13" t="s">
        <v>1099</v>
      </c>
      <c r="N42" s="14" t="str">
        <f>HYPERLINK("mailto:clanes@anacondadeerlodge.mt.gov","Chad Lanes")</f>
        <v>Chad Lanes</v>
      </c>
      <c r="O42" s="15" t="str">
        <f>HYPERLINK("mailto:Brad.Tufto@fda.hhs.gov","Bradley Tufto")</f>
        <v>Bradley Tufto</v>
      </c>
    </row>
    <row r="43" spans="1:15" ht="30" x14ac:dyDescent="0.25">
      <c r="A43" s="27" t="s">
        <v>1100</v>
      </c>
      <c r="B43" s="17">
        <v>38968</v>
      </c>
      <c r="C43" s="18">
        <v>1</v>
      </c>
      <c r="D43" s="17">
        <v>39331</v>
      </c>
      <c r="E43" s="18"/>
      <c r="F43" s="18" t="s">
        <v>1101</v>
      </c>
      <c r="G43" s="18"/>
      <c r="H43" s="18"/>
      <c r="I43" s="18"/>
      <c r="J43" s="18"/>
      <c r="K43" s="18"/>
      <c r="L43" s="18"/>
      <c r="M43" s="18"/>
      <c r="N43" s="19" t="str">
        <f>HYPERLINK("mailto:cshipp@valleycountymt.gov","Cameron Shipp")</f>
        <v>Cameron Shipp</v>
      </c>
      <c r="O43" s="20" t="str">
        <f>HYPERLINK("mailto:Brad.Tufto@fda.hhs.gov","Bradley Tufto")</f>
        <v>Bradley Tufto</v>
      </c>
    </row>
  </sheetData>
  <pageMargins left="0.15" right="0.15" top="0.25" bottom="0.25" header="0.05" footer="0.05"/>
  <pageSetup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25AEB-B9F2-4DB9-B7C7-600B24AEFD56}">
  <sheetPr>
    <pageSetUpPr fitToPage="1"/>
  </sheetPr>
  <dimension ref="A1:O7"/>
  <sheetViews>
    <sheetView workbookViewId="0"/>
  </sheetViews>
  <sheetFormatPr defaultRowHeight="15" x14ac:dyDescent="0.25"/>
  <cols>
    <col min="1" max="1" width="33.7109375" customWidth="1"/>
    <col min="2" max="2" width="14.85546875" customWidth="1"/>
    <col min="3" max="3" width="18.42578125" customWidth="1"/>
    <col min="4" max="4" width="22" customWidth="1"/>
    <col min="5" max="13" width="17.28515625" customWidth="1"/>
    <col min="14" max="14" width="14.85546875" customWidth="1"/>
    <col min="15" max="15" width="13.140625" customWidth="1"/>
  </cols>
  <sheetData>
    <row r="1" spans="1:15" x14ac:dyDescent="0.25">
      <c r="A1" t="s">
        <v>47</v>
      </c>
      <c r="B1" s="2" t="str">
        <f>HYPERLINK("#Introduction!A1","Back to Introduction Page")</f>
        <v>Back to Introduction Page</v>
      </c>
    </row>
    <row r="2" spans="1:15" x14ac:dyDescent="0.25">
      <c r="A2" s="21" t="s">
        <v>48</v>
      </c>
    </row>
    <row r="3" spans="1:15" ht="45" x14ac:dyDescent="0.25">
      <c r="A3" s="4" t="s">
        <v>15</v>
      </c>
      <c r="B3" s="3" t="s">
        <v>16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21</v>
      </c>
      <c r="H3" s="3" t="s">
        <v>22</v>
      </c>
      <c r="I3" s="3" t="s">
        <v>23</v>
      </c>
      <c r="J3" s="3" t="s">
        <v>24</v>
      </c>
      <c r="K3" s="3" t="s">
        <v>25</v>
      </c>
      <c r="L3" s="3" t="s">
        <v>26</v>
      </c>
      <c r="M3" s="3" t="s">
        <v>27</v>
      </c>
      <c r="N3" s="3" t="s">
        <v>28</v>
      </c>
      <c r="O3" s="5" t="s">
        <v>29</v>
      </c>
    </row>
    <row r="4" spans="1:15" ht="30" x14ac:dyDescent="0.25">
      <c r="A4" s="6" t="str">
        <f>HYPERLINK("http://dec.alaska.gov/eh/fss/index.htm","Alaska Food Safety and Sanitation Program, ADEC")</f>
        <v>Alaska Food Safety and Sanitation Program, ADEC</v>
      </c>
      <c r="B4" s="7">
        <v>38720</v>
      </c>
      <c r="C4" s="8">
        <v>1</v>
      </c>
      <c r="D4" s="7">
        <v>39146</v>
      </c>
      <c r="E4" s="8"/>
      <c r="F4" s="8"/>
      <c r="G4" s="8"/>
      <c r="H4" s="8"/>
      <c r="I4" s="8"/>
      <c r="J4" s="8"/>
      <c r="K4" s="8" t="s">
        <v>37</v>
      </c>
      <c r="L4" s="8"/>
      <c r="M4" s="8" t="s">
        <v>37</v>
      </c>
      <c r="N4" s="8" t="s">
        <v>38</v>
      </c>
      <c r="O4" s="10" t="str">
        <f>HYPERLINK("mailto:Katey.Kennedy@fda.hhs.gov","Kathryn Kennedy")</f>
        <v>Kathryn Kennedy</v>
      </c>
    </row>
    <row r="5" spans="1:15" ht="30" x14ac:dyDescent="0.25">
      <c r="A5" s="6" t="str">
        <f>HYPERLINK("http://dec.alaska.gov/eh/fss/index.htm","Alaska Food Safety and Sanitation Program, ADEC")</f>
        <v>Alaska Food Safety and Sanitation Program, ADEC</v>
      </c>
      <c r="B5" s="7">
        <v>38720</v>
      </c>
      <c r="C5" s="8">
        <v>2</v>
      </c>
      <c r="D5" s="7">
        <v>41085</v>
      </c>
      <c r="E5" s="8"/>
      <c r="F5" s="8"/>
      <c r="G5" s="8" t="s">
        <v>39</v>
      </c>
      <c r="H5" s="8"/>
      <c r="I5" s="8"/>
      <c r="J5" s="8"/>
      <c r="K5" s="8" t="s">
        <v>40</v>
      </c>
      <c r="L5" s="8"/>
      <c r="M5" s="8" t="s">
        <v>41</v>
      </c>
      <c r="N5" s="8" t="s">
        <v>38</v>
      </c>
      <c r="O5" s="10" t="str">
        <f>HYPERLINK("mailto:Katey.Kennedy@fda.hhs.gov","Kathryn Kennedy")</f>
        <v>Kathryn Kennedy</v>
      </c>
    </row>
    <row r="6" spans="1:15" ht="30" x14ac:dyDescent="0.25">
      <c r="A6" s="11" t="str">
        <f>HYPERLINK("http://www.muni.org/departments/health/admin/environment","Municipality of Anchorage Health Department")</f>
        <v>Municipality of Anchorage Health Department</v>
      </c>
      <c r="B6" s="12">
        <v>36929</v>
      </c>
      <c r="C6" s="13">
        <v>1</v>
      </c>
      <c r="D6" s="12">
        <v>37621</v>
      </c>
      <c r="E6" s="13" t="s">
        <v>42</v>
      </c>
      <c r="F6" s="13" t="s">
        <v>43</v>
      </c>
      <c r="G6" s="13"/>
      <c r="H6" s="13"/>
      <c r="I6" s="13"/>
      <c r="J6" s="13"/>
      <c r="K6" s="13" t="s">
        <v>44</v>
      </c>
      <c r="L6" s="13"/>
      <c r="M6" s="13" t="s">
        <v>44</v>
      </c>
      <c r="N6" s="14" t="str">
        <f>HYPERLINK("mailto:Griffithsa@muni.org","Shelly Griffith")</f>
        <v>Shelly Griffith</v>
      </c>
      <c r="O6" s="15" t="str">
        <f>HYPERLINK("mailto:Katey.Kennedy@fda.hhs.gov","Kathryn Kennedy")</f>
        <v>Kathryn Kennedy</v>
      </c>
    </row>
    <row r="7" spans="1:15" ht="30" x14ac:dyDescent="0.25">
      <c r="A7" s="22" t="str">
        <f>HYPERLINK("http://www.muni.org/departments/health/admin/environment","Municipality of Anchorage Health Department")</f>
        <v>Municipality of Anchorage Health Department</v>
      </c>
      <c r="B7" s="23">
        <v>36929</v>
      </c>
      <c r="C7" s="24">
        <v>2</v>
      </c>
      <c r="D7" s="23">
        <v>42094</v>
      </c>
      <c r="E7" s="24"/>
      <c r="F7" s="24" t="s">
        <v>45</v>
      </c>
      <c r="G7" s="24"/>
      <c r="H7" s="24"/>
      <c r="I7" s="24"/>
      <c r="J7" s="24"/>
      <c r="K7" s="24" t="s">
        <v>46</v>
      </c>
      <c r="L7" s="24"/>
      <c r="M7" s="24"/>
      <c r="N7" s="25" t="str">
        <f>HYPERLINK("mailto:Griffithsa@muni.org","Shelly Griffith")</f>
        <v>Shelly Griffith</v>
      </c>
      <c r="O7" s="26" t="str">
        <f>HYPERLINK("mailto:Katey.Kennedy@fda.hhs.gov","Kathryn Kennedy")</f>
        <v>Kathryn Kennedy</v>
      </c>
    </row>
  </sheetData>
  <pageMargins left="0.15" right="0.15" top="0.25" bottom="0.25" header="0.05" footer="0.05"/>
  <pageSetup orientation="landscape" r:id="rId1"/>
  <tableParts count="1">
    <tablePart r:id="rId2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7FB75-8A2F-41ED-97E0-B5E3087AADEE}">
  <sheetPr>
    <pageSetUpPr fitToPage="1"/>
  </sheetPr>
  <dimension ref="A1:O15"/>
  <sheetViews>
    <sheetView workbookViewId="0"/>
  </sheetViews>
  <sheetFormatPr defaultRowHeight="15" x14ac:dyDescent="0.25"/>
  <cols>
    <col min="1" max="1" width="33.7109375" customWidth="1"/>
    <col min="2" max="2" width="14.85546875" customWidth="1"/>
    <col min="3" max="3" width="18.42578125" customWidth="1"/>
    <col min="4" max="4" width="22" customWidth="1"/>
    <col min="5" max="13" width="17.28515625" customWidth="1"/>
    <col min="14" max="14" width="14.85546875" customWidth="1"/>
    <col min="15" max="15" width="13.140625" customWidth="1"/>
  </cols>
  <sheetData>
    <row r="1" spans="1:15" x14ac:dyDescent="0.25">
      <c r="A1" t="s">
        <v>1136</v>
      </c>
      <c r="B1" s="2" t="str">
        <f>HYPERLINK("#Introduction!A1","Back to Introduction Page")</f>
        <v>Back to Introduction Page</v>
      </c>
    </row>
    <row r="2" spans="1:15" x14ac:dyDescent="0.25">
      <c r="A2" s="21" t="s">
        <v>1137</v>
      </c>
    </row>
    <row r="3" spans="1:15" ht="45" x14ac:dyDescent="0.25">
      <c r="A3" s="4" t="s">
        <v>15</v>
      </c>
      <c r="B3" s="3" t="s">
        <v>16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21</v>
      </c>
      <c r="H3" s="3" t="s">
        <v>22</v>
      </c>
      <c r="I3" s="3" t="s">
        <v>23</v>
      </c>
      <c r="J3" s="3" t="s">
        <v>24</v>
      </c>
      <c r="K3" s="3" t="s">
        <v>25</v>
      </c>
      <c r="L3" s="3" t="s">
        <v>26</v>
      </c>
      <c r="M3" s="3" t="s">
        <v>27</v>
      </c>
      <c r="N3" s="3" t="s">
        <v>28</v>
      </c>
      <c r="O3" s="5" t="s">
        <v>29</v>
      </c>
    </row>
    <row r="4" spans="1:15" ht="30" x14ac:dyDescent="0.25">
      <c r="A4" s="28" t="s">
        <v>1104</v>
      </c>
      <c r="B4" s="7">
        <v>37628</v>
      </c>
      <c r="C4" s="8">
        <v>1</v>
      </c>
      <c r="D4" s="7">
        <v>39174</v>
      </c>
      <c r="E4" s="8" t="s">
        <v>1105</v>
      </c>
      <c r="F4" s="8"/>
      <c r="G4" s="8"/>
      <c r="H4" s="8"/>
      <c r="I4" s="8"/>
      <c r="J4" s="8"/>
      <c r="K4" s="8"/>
      <c r="L4" s="8"/>
      <c r="M4" s="8"/>
      <c r="N4" s="9" t="str">
        <f>HYPERLINK("mailto:jcollinson@cdhd.ne.gov","Jeremy Collinson")</f>
        <v>Jeremy Collinson</v>
      </c>
      <c r="O4" s="10" t="str">
        <f>HYPERLINK("mailto:Cynthia.Kunkel@fda.hhs.gov","Cynthia Kunkel")</f>
        <v>Cynthia Kunkel</v>
      </c>
    </row>
    <row r="5" spans="1:15" ht="30" x14ac:dyDescent="0.25">
      <c r="A5" s="28" t="s">
        <v>1104</v>
      </c>
      <c r="B5" s="7">
        <v>37628</v>
      </c>
      <c r="C5" s="8">
        <v>2</v>
      </c>
      <c r="D5" s="7">
        <v>40345</v>
      </c>
      <c r="E5" s="8" t="s">
        <v>1106</v>
      </c>
      <c r="F5" s="8"/>
      <c r="G5" s="8"/>
      <c r="H5" s="8"/>
      <c r="I5" s="8"/>
      <c r="J5" s="8"/>
      <c r="K5" s="8" t="s">
        <v>1106</v>
      </c>
      <c r="L5" s="8"/>
      <c r="M5" s="8"/>
      <c r="N5" s="9" t="str">
        <f>HYPERLINK("mailto:jcollinson@cdhd.ne.gov","Jeremy Collinson")</f>
        <v>Jeremy Collinson</v>
      </c>
      <c r="O5" s="10" t="str">
        <f>HYPERLINK("mailto:Cynthia.Kunkel@fda.hhs.gov","Cynthia Kunkel")</f>
        <v>Cynthia Kunkel</v>
      </c>
    </row>
    <row r="6" spans="1:15" ht="30" x14ac:dyDescent="0.25">
      <c r="A6" s="11" t="str">
        <f>HYPERLINK("http://www.co.douglas.ne.us/dept/health/","Douglas County Health Department")</f>
        <v>Douglas County Health Department</v>
      </c>
      <c r="B6" s="12">
        <v>37488</v>
      </c>
      <c r="C6" s="13">
        <v>1</v>
      </c>
      <c r="D6" s="12">
        <v>38755</v>
      </c>
      <c r="E6" s="13"/>
      <c r="F6" s="13"/>
      <c r="G6" s="13"/>
      <c r="H6" s="13"/>
      <c r="I6" s="13"/>
      <c r="J6" s="13"/>
      <c r="K6" s="13" t="s">
        <v>1107</v>
      </c>
      <c r="L6" s="13"/>
      <c r="M6" s="13"/>
      <c r="N6" s="14" t="str">
        <f>HYPERLINK("mailto:joseph.gaube@douglascounty-ne.gov","Joe Gaube")</f>
        <v>Joe Gaube</v>
      </c>
      <c r="O6" s="15" t="str">
        <f>HYPERLINK("mailto:Cynthia.Kunkel@fda.hhs.gov","Cynthia Kunkel")</f>
        <v>Cynthia Kunkel</v>
      </c>
    </row>
    <row r="7" spans="1:15" ht="30" x14ac:dyDescent="0.25">
      <c r="A7" s="11" t="str">
        <f>HYPERLINK("http://www.co.douglas.ne.us/dept/health/","Douglas County Health Department")</f>
        <v>Douglas County Health Department</v>
      </c>
      <c r="B7" s="12">
        <v>37488</v>
      </c>
      <c r="C7" s="13">
        <v>2</v>
      </c>
      <c r="D7" s="12">
        <v>42643</v>
      </c>
      <c r="E7" s="13" t="s">
        <v>1108</v>
      </c>
      <c r="F7" s="13"/>
      <c r="G7" s="13" t="s">
        <v>1109</v>
      </c>
      <c r="H7" s="13" t="s">
        <v>1109</v>
      </c>
      <c r="I7" s="13" t="s">
        <v>1110</v>
      </c>
      <c r="J7" s="13" t="s">
        <v>1109</v>
      </c>
      <c r="K7" s="13" t="s">
        <v>1108</v>
      </c>
      <c r="L7" s="13"/>
      <c r="M7" s="13"/>
      <c r="N7" s="14" t="str">
        <f>HYPERLINK("mailto:Larry.Figgs@douglascounty-ne.gov","Larry Figgs")</f>
        <v>Larry Figgs</v>
      </c>
      <c r="O7" s="15" t="str">
        <f>HYPERLINK("mailto:Cynthia.Kunkel@fda.hhs.gov","Cynthia Kunkel")</f>
        <v>Cynthia Kunkel</v>
      </c>
    </row>
    <row r="8" spans="1:15" ht="30" x14ac:dyDescent="0.25">
      <c r="A8" s="6" t="str">
        <f>HYPERLINK("http://www.lincoln.ne.gov/city/health/","Lincoln-Lancaster County Health Department")</f>
        <v>Lincoln-Lancaster County Health Department</v>
      </c>
      <c r="B8" s="7">
        <v>37133</v>
      </c>
      <c r="C8" s="8">
        <v>1</v>
      </c>
      <c r="D8" s="7">
        <v>37487</v>
      </c>
      <c r="E8" s="8" t="s">
        <v>1111</v>
      </c>
      <c r="F8" s="8"/>
      <c r="G8" s="8" t="s">
        <v>1112</v>
      </c>
      <c r="H8" s="8" t="s">
        <v>1113</v>
      </c>
      <c r="I8" s="8"/>
      <c r="J8" s="8"/>
      <c r="K8" s="8" t="s">
        <v>1114</v>
      </c>
      <c r="L8" s="8"/>
      <c r="M8" s="8" t="s">
        <v>1115</v>
      </c>
      <c r="N8" s="9" t="str">
        <f>HYPERLINK("mailto:jdaniel@lincoln.ne.gov","Justin Daniel")</f>
        <v>Justin Daniel</v>
      </c>
      <c r="O8" s="10" t="str">
        <f>HYPERLINK("mailto:Cynthia.Kunkel@fda.hhs.gov","Cynthia Kunkel")</f>
        <v>Cynthia Kunkel</v>
      </c>
    </row>
    <row r="9" spans="1:15" ht="30" x14ac:dyDescent="0.25">
      <c r="A9" s="6" t="str">
        <f>HYPERLINK("http://www.lincoln.ne.gov/city/health/","Lincoln-Lancaster County Health Department")</f>
        <v>Lincoln-Lancaster County Health Department</v>
      </c>
      <c r="B9" s="7">
        <v>37133</v>
      </c>
      <c r="C9" s="8">
        <v>2</v>
      </c>
      <c r="D9" s="7">
        <v>40344</v>
      </c>
      <c r="E9" s="8" t="s">
        <v>1116</v>
      </c>
      <c r="F9" s="8" t="s">
        <v>1117</v>
      </c>
      <c r="G9" s="8" t="s">
        <v>1118</v>
      </c>
      <c r="H9" s="8" t="s">
        <v>1119</v>
      </c>
      <c r="I9" s="8" t="s">
        <v>1120</v>
      </c>
      <c r="J9" s="8"/>
      <c r="K9" s="8" t="s">
        <v>1121</v>
      </c>
      <c r="L9" s="8"/>
      <c r="M9" s="8" t="s">
        <v>1122</v>
      </c>
      <c r="N9" s="9" t="str">
        <f>HYPERLINK("mailto:jdaniel@lincoln.ne.gov","Justin Daniel")</f>
        <v>Justin Daniel</v>
      </c>
      <c r="O9" s="10" t="str">
        <f>HYPERLINK("mailto:Cynthia.Kunkel@fda.hhs.gov","Cynthia Kunkel")</f>
        <v>Cynthia Kunkel</v>
      </c>
    </row>
    <row r="10" spans="1:15" ht="30" x14ac:dyDescent="0.25">
      <c r="A10" s="6" t="str">
        <f>HYPERLINK("http://www.lincoln.ne.gov/city/health/","Lincoln-Lancaster County Health Department")</f>
        <v>Lincoln-Lancaster County Health Department</v>
      </c>
      <c r="B10" s="7">
        <v>37133</v>
      </c>
      <c r="C10" s="8">
        <v>3</v>
      </c>
      <c r="D10" s="7">
        <v>42549</v>
      </c>
      <c r="E10" s="8" t="s">
        <v>1123</v>
      </c>
      <c r="F10" s="8" t="s">
        <v>1124</v>
      </c>
      <c r="G10" s="8" t="s">
        <v>1125</v>
      </c>
      <c r="H10" s="8" t="s">
        <v>1126</v>
      </c>
      <c r="I10" s="8" t="s">
        <v>1124</v>
      </c>
      <c r="J10" s="8"/>
      <c r="K10" s="8" t="s">
        <v>1127</v>
      </c>
      <c r="L10" s="8"/>
      <c r="M10" s="8" t="s">
        <v>1128</v>
      </c>
      <c r="N10" s="9" t="str">
        <f>HYPERLINK("mailto:jdaniel@lincoln.ne.gov","Justin Daniel")</f>
        <v>Justin Daniel</v>
      </c>
      <c r="O10" s="10" t="str">
        <f>HYPERLINK("mailto:Cynthia.Kunkel@fda.hhs.gov","Cynthia Kunkel")</f>
        <v>Cynthia Kunkel</v>
      </c>
    </row>
    <row r="11" spans="1:15" ht="30" x14ac:dyDescent="0.25">
      <c r="A11" s="29" t="s">
        <v>1129</v>
      </c>
      <c r="B11" s="12">
        <v>37350</v>
      </c>
      <c r="C11" s="13">
        <v>1</v>
      </c>
      <c r="D11" s="12">
        <v>37453</v>
      </c>
      <c r="E11" s="13" t="s">
        <v>1130</v>
      </c>
      <c r="F11" s="13"/>
      <c r="G11" s="13"/>
      <c r="H11" s="13"/>
      <c r="I11" s="13"/>
      <c r="J11" s="13"/>
      <c r="K11" s="13" t="s">
        <v>1130</v>
      </c>
      <c r="L11" s="13"/>
      <c r="M11" s="13"/>
      <c r="N11" s="14" t="str">
        <f>HYPERLINK("mailto:melva.ball@nebraska.gov","Melva Ball")</f>
        <v>Melva Ball</v>
      </c>
      <c r="O11" s="15" t="str">
        <f>HYPERLINK("mailto:Cynthia.Kunkel@fda.hhs.gov","Cynthia Kunkel")</f>
        <v>Cynthia Kunkel</v>
      </c>
    </row>
    <row r="12" spans="1:15" ht="30" x14ac:dyDescent="0.25">
      <c r="A12" s="29" t="s">
        <v>1129</v>
      </c>
      <c r="B12" s="12">
        <v>37350</v>
      </c>
      <c r="C12" s="13">
        <v>2</v>
      </c>
      <c r="D12" s="12">
        <v>40045</v>
      </c>
      <c r="E12" s="13" t="s">
        <v>1131</v>
      </c>
      <c r="F12" s="13"/>
      <c r="G12" s="13"/>
      <c r="H12" s="13" t="s">
        <v>1132</v>
      </c>
      <c r="I12" s="13" t="s">
        <v>1133</v>
      </c>
      <c r="J12" s="13"/>
      <c r="K12" s="13" t="s">
        <v>1131</v>
      </c>
      <c r="L12" s="13"/>
      <c r="M12" s="13"/>
      <c r="N12" s="14" t="str">
        <f>HYPERLINK("mailto:melva.ball@nebraska.gov","Melva Ball")</f>
        <v>Melva Ball</v>
      </c>
      <c r="O12" s="15" t="str">
        <f>HYPERLINK("mailto:Cynthia.Kunkel@fda.hhs.gov","Cynthia Kunkel")</f>
        <v>Cynthia Kunkel</v>
      </c>
    </row>
    <row r="13" spans="1:15" ht="30" x14ac:dyDescent="0.25">
      <c r="A13" s="29" t="s">
        <v>1129</v>
      </c>
      <c r="B13" s="12">
        <v>37350</v>
      </c>
      <c r="C13" s="13">
        <v>3</v>
      </c>
      <c r="D13" s="12">
        <v>42605</v>
      </c>
      <c r="E13" s="13"/>
      <c r="F13" s="13"/>
      <c r="G13" s="13"/>
      <c r="H13" s="13" t="s">
        <v>1134</v>
      </c>
      <c r="I13" s="13"/>
      <c r="J13" s="13"/>
      <c r="K13" s="13" t="s">
        <v>1134</v>
      </c>
      <c r="L13" s="13"/>
      <c r="M13" s="13"/>
      <c r="N13" s="14" t="str">
        <f>HYPERLINK("mailto:melva.ball@nebraska.gov","Melva Ball")</f>
        <v>Melva Ball</v>
      </c>
      <c r="O13" s="15" t="str">
        <f>HYPERLINK("mailto:Cynthia.Kunkel@fda.hhs.gov","Cynthia Kunkel")</f>
        <v>Cynthia Kunkel</v>
      </c>
    </row>
    <row r="14" spans="1:15" ht="30" x14ac:dyDescent="0.25">
      <c r="A14" s="6" t="str">
        <f>HYPERLINK("http://www.hhs.state.ne.us/","Nebraska Health &amp; Human Services")</f>
        <v>Nebraska Health &amp; Human Services</v>
      </c>
      <c r="B14" s="7">
        <v>38951</v>
      </c>
      <c r="C14" s="8">
        <v>1</v>
      </c>
      <c r="D14" s="7">
        <v>38726</v>
      </c>
      <c r="E14" s="8" t="s">
        <v>1135</v>
      </c>
      <c r="F14" s="8"/>
      <c r="G14" s="8"/>
      <c r="H14" s="8" t="s">
        <v>1135</v>
      </c>
      <c r="I14" s="8"/>
      <c r="J14" s="8"/>
      <c r="K14" s="8" t="s">
        <v>1135</v>
      </c>
      <c r="L14" s="8"/>
      <c r="M14" s="8"/>
      <c r="N14" s="9" t="str">
        <f>HYPERLINK("mailto:mandy.kearney@nebraska.gov","Mandy Kearney")</f>
        <v>Mandy Kearney</v>
      </c>
      <c r="O14" s="10" t="str">
        <f>HYPERLINK("mailto:Cynthia.Kunkel@fda.hhs.gov","Cynthia Kunkel")</f>
        <v>Cynthia Kunkel</v>
      </c>
    </row>
    <row r="15" spans="1:15" ht="30" x14ac:dyDescent="0.25">
      <c r="A15" s="16" t="str">
        <f>HYPERLINK("http://www.hhs.state.ne.us/","Nebraska Health &amp; Human Services")</f>
        <v>Nebraska Health &amp; Human Services</v>
      </c>
      <c r="B15" s="17">
        <v>38951</v>
      </c>
      <c r="C15" s="18">
        <v>2</v>
      </c>
      <c r="D15" s="17">
        <v>40841</v>
      </c>
      <c r="E15" s="18"/>
      <c r="F15" s="18"/>
      <c r="G15" s="18"/>
      <c r="H15" s="18"/>
      <c r="I15" s="18"/>
      <c r="J15" s="18"/>
      <c r="K15" s="18"/>
      <c r="L15" s="18"/>
      <c r="M15" s="18"/>
      <c r="N15" s="19" t="str">
        <f>HYPERLINK("mailto:mandy.kearney@nebraska.gov","Mandy Kearney")</f>
        <v>Mandy Kearney</v>
      </c>
      <c r="O15" s="20" t="str">
        <f>HYPERLINK("mailto:Cynthia.Kunkel@fda.hhs.gov","Cynthia Kunkel")</f>
        <v>Cynthia Kunkel</v>
      </c>
    </row>
  </sheetData>
  <pageMargins left="0.15" right="0.15" top="0.25" bottom="0.25" header="0.05" footer="0.05"/>
  <pageSetup orientation="landscape" r:id="rId1"/>
  <tableParts count="1">
    <tablePart r:id="rId2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00B8F-EDE6-453D-8679-3FA69A3B1B9F}">
  <sheetPr>
    <pageSetUpPr fitToPage="1"/>
  </sheetPr>
  <dimension ref="A1:O11"/>
  <sheetViews>
    <sheetView workbookViewId="0"/>
  </sheetViews>
  <sheetFormatPr defaultRowHeight="15" x14ac:dyDescent="0.25"/>
  <cols>
    <col min="1" max="1" width="33.7109375" customWidth="1"/>
    <col min="2" max="2" width="14.85546875" customWidth="1"/>
    <col min="3" max="3" width="18.42578125" customWidth="1"/>
    <col min="4" max="4" width="22" customWidth="1"/>
    <col min="5" max="13" width="17.28515625" customWidth="1"/>
    <col min="14" max="14" width="14.85546875" customWidth="1"/>
    <col min="15" max="15" width="13.140625" customWidth="1"/>
  </cols>
  <sheetData>
    <row r="1" spans="1:15" x14ac:dyDescent="0.25">
      <c r="A1" t="s">
        <v>1147</v>
      </c>
      <c r="B1" s="2" t="str">
        <f>HYPERLINK("#Introduction!A1","Back to Introduction Page")</f>
        <v>Back to Introduction Page</v>
      </c>
    </row>
    <row r="2" spans="1:15" x14ac:dyDescent="0.25">
      <c r="A2" s="21" t="s">
        <v>1148</v>
      </c>
    </row>
    <row r="3" spans="1:15" ht="45" x14ac:dyDescent="0.25">
      <c r="A3" s="4" t="s">
        <v>15</v>
      </c>
      <c r="B3" s="3" t="s">
        <v>16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21</v>
      </c>
      <c r="H3" s="3" t="s">
        <v>22</v>
      </c>
      <c r="I3" s="3" t="s">
        <v>23</v>
      </c>
      <c r="J3" s="3" t="s">
        <v>24</v>
      </c>
      <c r="K3" s="3" t="s">
        <v>25</v>
      </c>
      <c r="L3" s="3" t="s">
        <v>26</v>
      </c>
      <c r="M3" s="3" t="s">
        <v>27</v>
      </c>
      <c r="N3" s="3" t="s">
        <v>28</v>
      </c>
      <c r="O3" s="5" t="s">
        <v>29</v>
      </c>
    </row>
    <row r="4" spans="1:15" ht="30" x14ac:dyDescent="0.25">
      <c r="A4" s="6" t="str">
        <f>HYPERLINK("http://gethealthycarsoncity.org/","Carson City Health and Human Services")</f>
        <v>Carson City Health and Human Services</v>
      </c>
      <c r="B4" s="7">
        <v>38147</v>
      </c>
      <c r="C4" s="8">
        <v>1</v>
      </c>
      <c r="D4" s="7">
        <v>38909</v>
      </c>
      <c r="E4" s="8"/>
      <c r="F4" s="8"/>
      <c r="G4" s="8"/>
      <c r="H4" s="8"/>
      <c r="I4" s="8"/>
      <c r="J4" s="8"/>
      <c r="K4" s="8" t="s">
        <v>1138</v>
      </c>
      <c r="L4" s="8"/>
      <c r="M4" s="8"/>
      <c r="N4" s="9" t="str">
        <f>HYPERLINK("mailto:dboothe@carson.org","Dustin Boothe")</f>
        <v>Dustin Boothe</v>
      </c>
      <c r="O4" s="10" t="str">
        <f>HYPERLINK("mailto:David.Engelskirchen@fda.hhs.gov","David Engelskirchen")</f>
        <v>David Engelskirchen</v>
      </c>
    </row>
    <row r="5" spans="1:15" ht="30" x14ac:dyDescent="0.25">
      <c r="A5" s="6" t="str">
        <f>HYPERLINK("http://gethealthycarsoncity.org/","Carson City Health and Human Services")</f>
        <v>Carson City Health and Human Services</v>
      </c>
      <c r="B5" s="7">
        <v>38147</v>
      </c>
      <c r="C5" s="8">
        <v>2</v>
      </c>
      <c r="D5" s="7">
        <v>42646</v>
      </c>
      <c r="E5" s="8"/>
      <c r="F5" s="8"/>
      <c r="G5" s="8"/>
      <c r="H5" s="8"/>
      <c r="I5" s="8"/>
      <c r="J5" s="8"/>
      <c r="K5" s="8" t="s">
        <v>1139</v>
      </c>
      <c r="L5" s="8"/>
      <c r="M5" s="8"/>
      <c r="N5" s="9" t="str">
        <f>HYPERLINK("mailto:dboothe@carson.org","Dustin Boothe")</f>
        <v>Dustin Boothe</v>
      </c>
      <c r="O5" s="10" t="str">
        <f>HYPERLINK("mailto:David.Engelskirchen@fda.hhs.gov","David Engelskirchen")</f>
        <v>David Engelskirchen</v>
      </c>
    </row>
    <row r="6" spans="1:15" ht="30" x14ac:dyDescent="0.25">
      <c r="A6" s="11" t="str">
        <f>HYPERLINK("http://www.snhd.info","Southern Nevada Health District")</f>
        <v>Southern Nevada Health District</v>
      </c>
      <c r="B6" s="12">
        <v>41072</v>
      </c>
      <c r="C6" s="13">
        <v>1</v>
      </c>
      <c r="D6" s="12">
        <v>42159</v>
      </c>
      <c r="E6" s="13"/>
      <c r="F6" s="13"/>
      <c r="G6" s="13"/>
      <c r="H6" s="13"/>
      <c r="I6" s="13"/>
      <c r="J6" s="13"/>
      <c r="K6" s="13" t="s">
        <v>1140</v>
      </c>
      <c r="L6" s="13"/>
      <c r="M6" s="13"/>
      <c r="N6" s="14" t="str">
        <f>HYPERLINK("mailto:sylvis@snhdmail.org","Christine Sylvis")</f>
        <v>Christine Sylvis</v>
      </c>
      <c r="O6" s="15" t="str">
        <f>HYPERLINK("mailto:David.Engelskirchen@fda.hhs.gov","David Engelskirchen")</f>
        <v>David Engelskirchen</v>
      </c>
    </row>
    <row r="7" spans="1:15" ht="45" x14ac:dyDescent="0.25">
      <c r="A7" s="6" t="str">
        <f>HYPERLINK("http://dpbh.nv.gov","State of Nevada Health Division of Public &amp; Behaviorial Health")</f>
        <v>State of Nevada Health Division of Public &amp; Behaviorial Health</v>
      </c>
      <c r="B7" s="7">
        <v>38146</v>
      </c>
      <c r="C7" s="8">
        <v>1</v>
      </c>
      <c r="D7" s="7">
        <v>38804</v>
      </c>
      <c r="E7" s="8"/>
      <c r="F7" s="8"/>
      <c r="G7" s="8"/>
      <c r="H7" s="8"/>
      <c r="I7" s="8"/>
      <c r="J7" s="8"/>
      <c r="K7" s="8" t="s">
        <v>1141</v>
      </c>
      <c r="L7" s="8"/>
      <c r="M7" s="8"/>
      <c r="N7" s="8"/>
      <c r="O7" s="10" t="str">
        <f>HYPERLINK("mailto:David.Engelskirchen@fda.hhs.gov","David Engelskirchen")</f>
        <v>David Engelskirchen</v>
      </c>
    </row>
    <row r="8" spans="1:15" ht="45" x14ac:dyDescent="0.25">
      <c r="A8" s="6" t="str">
        <f>HYPERLINK("http://dpbh.nv.gov","State of Nevada Health Division of Public &amp; Behaviorial Health")</f>
        <v>State of Nevada Health Division of Public &amp; Behaviorial Health</v>
      </c>
      <c r="B8" s="7">
        <v>38146</v>
      </c>
      <c r="C8" s="8">
        <v>2</v>
      </c>
      <c r="D8" s="7">
        <v>41960</v>
      </c>
      <c r="E8" s="8" t="s">
        <v>1142</v>
      </c>
      <c r="F8" s="8"/>
      <c r="G8" s="8"/>
      <c r="H8" s="8"/>
      <c r="I8" s="8"/>
      <c r="J8" s="8"/>
      <c r="K8" s="8" t="s">
        <v>1142</v>
      </c>
      <c r="L8" s="8"/>
      <c r="M8" s="8"/>
      <c r="N8" s="9" t="str">
        <f>HYPERLINK("mailto:thayes@health.nv.gov","Teresa Hayes")</f>
        <v>Teresa Hayes</v>
      </c>
      <c r="O8" s="10" t="str">
        <f>HYPERLINK("mailto:David.Engelskirchen@fda.hhs.gov","David Engelskirchen")</f>
        <v>David Engelskirchen</v>
      </c>
    </row>
    <row r="9" spans="1:15" ht="30" x14ac:dyDescent="0.25">
      <c r="A9" s="11" t="str">
        <f>HYPERLINK("washoecounty.us/health/programs-and-services/environmental-health/food-protection-services","Washoe County District Health Department")</f>
        <v>Washoe County District Health Department</v>
      </c>
      <c r="B9" s="12">
        <v>38188</v>
      </c>
      <c r="C9" s="13">
        <v>1</v>
      </c>
      <c r="D9" s="12">
        <v>38692</v>
      </c>
      <c r="E9" s="13"/>
      <c r="F9" s="13"/>
      <c r="G9" s="13"/>
      <c r="H9" s="13"/>
      <c r="I9" s="13"/>
      <c r="J9" s="13"/>
      <c r="K9" s="13" t="s">
        <v>1143</v>
      </c>
      <c r="L9" s="13"/>
      <c r="M9" s="13"/>
      <c r="N9" s="14" t="str">
        <f>HYPERLINK("mailto:tmacaluso@washoecounty.us","Tony Macaluso")</f>
        <v>Tony Macaluso</v>
      </c>
      <c r="O9" s="15" t="str">
        <f>HYPERLINK("mailto:David.Engelskirchen@fda.hhs.gov","David Engelskirchen")</f>
        <v>David Engelskirchen</v>
      </c>
    </row>
    <row r="10" spans="1:15" ht="30" x14ac:dyDescent="0.25">
      <c r="A10" s="11" t="str">
        <f>HYPERLINK("washoecounty.us/health/programs-and-services/environmental-health/food-protection-services","Washoe County District Health Department")</f>
        <v>Washoe County District Health Department</v>
      </c>
      <c r="B10" s="12">
        <v>38188</v>
      </c>
      <c r="C10" s="13">
        <v>2</v>
      </c>
      <c r="D10" s="12">
        <v>41050</v>
      </c>
      <c r="E10" s="13"/>
      <c r="F10" s="13"/>
      <c r="G10" s="13"/>
      <c r="H10" s="13"/>
      <c r="I10" s="13"/>
      <c r="J10" s="13"/>
      <c r="K10" s="13" t="s">
        <v>1144</v>
      </c>
      <c r="L10" s="13"/>
      <c r="M10" s="13"/>
      <c r="N10" s="14" t="str">
        <f>HYPERLINK("mailto:tmacaluso@washoecounty.us","Tony Macaluso")</f>
        <v>Tony Macaluso</v>
      </c>
      <c r="O10" s="15" t="str">
        <f>HYPERLINK("mailto:David.Engelskirchen@fda.hhs.gov","David Engelskirchen")</f>
        <v>David Engelskirchen</v>
      </c>
    </row>
    <row r="11" spans="1:15" ht="30" x14ac:dyDescent="0.25">
      <c r="A11" s="22" t="str">
        <f>HYPERLINK("washoecounty.us/health/programs-and-services/environmental-health/food-protection-services","Washoe County District Health Department")</f>
        <v>Washoe County District Health Department</v>
      </c>
      <c r="B11" s="23">
        <v>38188</v>
      </c>
      <c r="C11" s="24">
        <v>3</v>
      </c>
      <c r="D11" s="23">
        <v>42646</v>
      </c>
      <c r="E11" s="24" t="s">
        <v>1145</v>
      </c>
      <c r="F11" s="24"/>
      <c r="G11" s="24"/>
      <c r="H11" s="24"/>
      <c r="I11" s="24"/>
      <c r="J11" s="24"/>
      <c r="K11" s="24" t="s">
        <v>1146</v>
      </c>
      <c r="L11" s="24"/>
      <c r="M11" s="24"/>
      <c r="N11" s="25" t="str">
        <f>HYPERLINK("mailto:tmacaluso@washoecounty.us","Tony Macaluso")</f>
        <v>Tony Macaluso</v>
      </c>
      <c r="O11" s="26" t="str">
        <f>HYPERLINK("mailto:David.Engelskirchen@fda.hhs.gov","David Engelskirchen")</f>
        <v>David Engelskirchen</v>
      </c>
    </row>
  </sheetData>
  <pageMargins left="0.15" right="0.15" top="0.25" bottom="0.25" header="0.05" footer="0.05"/>
  <pageSetup orientation="landscape" r:id="rId1"/>
  <tableParts count="1">
    <tablePart r:id="rId2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15E3E-90B0-4C6A-BE94-384C10A85582}">
  <sheetPr>
    <pageSetUpPr fitToPage="1"/>
  </sheetPr>
  <dimension ref="A1:O12"/>
  <sheetViews>
    <sheetView workbookViewId="0"/>
  </sheetViews>
  <sheetFormatPr defaultRowHeight="15" x14ac:dyDescent="0.25"/>
  <cols>
    <col min="1" max="1" width="33.7109375" customWidth="1"/>
    <col min="2" max="2" width="14.85546875" customWidth="1"/>
    <col min="3" max="3" width="18.42578125" customWidth="1"/>
    <col min="4" max="4" width="22" customWidth="1"/>
    <col min="5" max="13" width="17.28515625" customWidth="1"/>
    <col min="14" max="14" width="14.85546875" customWidth="1"/>
    <col min="15" max="15" width="13.140625" customWidth="1"/>
  </cols>
  <sheetData>
    <row r="1" spans="1:15" x14ac:dyDescent="0.25">
      <c r="A1" t="s">
        <v>1161</v>
      </c>
      <c r="B1" s="2" t="str">
        <f>HYPERLINK("#Introduction!A1","Back to Introduction Page")</f>
        <v>Back to Introduction Page</v>
      </c>
    </row>
    <row r="2" spans="1:15" x14ac:dyDescent="0.25">
      <c r="A2" s="21" t="s">
        <v>1162</v>
      </c>
    </row>
    <row r="3" spans="1:15" ht="45" x14ac:dyDescent="0.25">
      <c r="A3" s="4" t="s">
        <v>15</v>
      </c>
      <c r="B3" s="3" t="s">
        <v>16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21</v>
      </c>
      <c r="H3" s="3" t="s">
        <v>22</v>
      </c>
      <c r="I3" s="3" t="s">
        <v>23</v>
      </c>
      <c r="J3" s="3" t="s">
        <v>24</v>
      </c>
      <c r="K3" s="3" t="s">
        <v>25</v>
      </c>
      <c r="L3" s="3" t="s">
        <v>26</v>
      </c>
      <c r="M3" s="3" t="s">
        <v>27</v>
      </c>
      <c r="N3" s="3" t="s">
        <v>28</v>
      </c>
      <c r="O3" s="5" t="s">
        <v>29</v>
      </c>
    </row>
    <row r="4" spans="1:15" ht="30" x14ac:dyDescent="0.25">
      <c r="A4" s="28" t="s">
        <v>1149</v>
      </c>
      <c r="B4" s="7">
        <v>43392</v>
      </c>
      <c r="C4" s="8">
        <v>1</v>
      </c>
      <c r="D4" s="7">
        <v>43508</v>
      </c>
      <c r="E4" s="8"/>
      <c r="F4" s="8"/>
      <c r="G4" s="8"/>
      <c r="H4" s="8"/>
      <c r="I4" s="8"/>
      <c r="J4" s="8"/>
      <c r="K4" s="8"/>
      <c r="L4" s="8"/>
      <c r="M4" s="8"/>
      <c r="N4" s="9" t="str">
        <f>HYPERLINK("mailto:sglasscock@claremontnh.com","Sean Glasscock")</f>
        <v>Sean Glasscock</v>
      </c>
      <c r="O4" s="10" t="str">
        <f>HYPERLINK("mailto:Alfred.Pistorio@fda.hhs.gov","Alfred Pistorio")</f>
        <v>Alfred Pistorio</v>
      </c>
    </row>
    <row r="5" spans="1:15" ht="30" x14ac:dyDescent="0.25">
      <c r="A5" s="29" t="s">
        <v>1150</v>
      </c>
      <c r="B5" s="12">
        <v>38455</v>
      </c>
      <c r="C5" s="13">
        <v>1</v>
      </c>
      <c r="D5" s="12">
        <v>38805</v>
      </c>
      <c r="E5" s="13" t="s">
        <v>1151</v>
      </c>
      <c r="F5" s="13" t="s">
        <v>1152</v>
      </c>
      <c r="G5" s="13"/>
      <c r="H5" s="13"/>
      <c r="I5" s="13" t="s">
        <v>1152</v>
      </c>
      <c r="J5" s="13"/>
      <c r="K5" s="13" t="s">
        <v>1152</v>
      </c>
      <c r="L5" s="13"/>
      <c r="M5" s="13"/>
      <c r="N5" s="14" t="str">
        <f>HYPERLINK("mailto:jjervis@town.exeter.nh.us","Judy Jervis")</f>
        <v>Judy Jervis</v>
      </c>
      <c r="O5" s="15" t="str">
        <f>HYPERLINK("mailto:Alfred.Pistorio@fda.hhs.gov","Alfred Pistorio")</f>
        <v>Alfred Pistorio</v>
      </c>
    </row>
    <row r="6" spans="1:15" ht="30" x14ac:dyDescent="0.25">
      <c r="A6" s="29" t="s">
        <v>1150</v>
      </c>
      <c r="B6" s="12">
        <v>38455</v>
      </c>
      <c r="C6" s="13">
        <v>2</v>
      </c>
      <c r="D6" s="12">
        <v>41022</v>
      </c>
      <c r="E6" s="13" t="s">
        <v>1153</v>
      </c>
      <c r="F6" s="13" t="s">
        <v>1153</v>
      </c>
      <c r="G6" s="13"/>
      <c r="H6" s="13"/>
      <c r="I6" s="13" t="s">
        <v>1153</v>
      </c>
      <c r="J6" s="13"/>
      <c r="K6" s="13" t="s">
        <v>1153</v>
      </c>
      <c r="L6" s="13"/>
      <c r="M6" s="13"/>
      <c r="N6" s="14" t="str">
        <f>HYPERLINK("mailto:jjervis@town.exeter.nh.us","Judy Jervis")</f>
        <v>Judy Jervis</v>
      </c>
      <c r="O6" s="15" t="str">
        <f>HYPERLINK("mailto:Alfred.Pistorio@fda.hhs.gov","Alfred Pistorio")</f>
        <v>Alfred Pistorio</v>
      </c>
    </row>
    <row r="7" spans="1:15" ht="30" x14ac:dyDescent="0.25">
      <c r="A7" s="29" t="s">
        <v>1150</v>
      </c>
      <c r="B7" s="12">
        <v>38455</v>
      </c>
      <c r="C7" s="13">
        <v>3</v>
      </c>
      <c r="D7" s="12">
        <v>42824</v>
      </c>
      <c r="E7" s="13" t="s">
        <v>1154</v>
      </c>
      <c r="F7" s="13" t="s">
        <v>1154</v>
      </c>
      <c r="G7" s="13"/>
      <c r="H7" s="13"/>
      <c r="I7" s="13"/>
      <c r="J7" s="13"/>
      <c r="K7" s="13" t="s">
        <v>1154</v>
      </c>
      <c r="L7" s="13"/>
      <c r="M7" s="13"/>
      <c r="N7" s="14" t="str">
        <f>HYPERLINK("mailto:jmurray@exeternh.gov","James Murray")</f>
        <v>James Murray</v>
      </c>
      <c r="O7" s="15" t="str">
        <f>HYPERLINK("mailto:Alfred.Pistorio@fda.hhs.gov","Alfred Pistorio")</f>
        <v>Alfred Pistorio</v>
      </c>
    </row>
    <row r="8" spans="1:15" ht="60" x14ac:dyDescent="0.25">
      <c r="A8" s="6" t="str">
        <f>HYPERLINK("http://www.dhhs.nh.gov/dphs/fp/","New Hampshire DHHS, Division of Public Health Services, Food Protection Section")</f>
        <v>New Hampshire DHHS, Division of Public Health Services, Food Protection Section</v>
      </c>
      <c r="B8" s="7">
        <v>41067</v>
      </c>
      <c r="C8" s="8">
        <v>1</v>
      </c>
      <c r="D8" s="7">
        <v>41430</v>
      </c>
      <c r="E8" s="8" t="s">
        <v>1155</v>
      </c>
      <c r="F8" s="8"/>
      <c r="G8" s="8"/>
      <c r="H8" s="8"/>
      <c r="I8" s="8" t="s">
        <v>1155</v>
      </c>
      <c r="J8" s="8"/>
      <c r="K8" s="8" t="s">
        <v>1155</v>
      </c>
      <c r="L8" s="8"/>
      <c r="M8" s="8"/>
      <c r="N8" s="9" t="str">
        <f>HYPERLINK("mailto:colleen.smith@dhhs.nh.gov","Colleen Smith")</f>
        <v>Colleen Smith</v>
      </c>
      <c r="O8" s="10" t="str">
        <f>HYPERLINK("mailto:Alfred.Pistorio@fda.hhs.gov","Alfred Pistorio")</f>
        <v>Alfred Pistorio</v>
      </c>
    </row>
    <row r="9" spans="1:15" ht="60" x14ac:dyDescent="0.25">
      <c r="A9" s="6" t="str">
        <f>HYPERLINK("http://www.dhhs.nh.gov/dphs/fp/","New Hampshire DHHS, Division of Public Health Services, Food Protection Section")</f>
        <v>New Hampshire DHHS, Division of Public Health Services, Food Protection Section</v>
      </c>
      <c r="B9" s="7">
        <v>41067</v>
      </c>
      <c r="C9" s="8">
        <v>2</v>
      </c>
      <c r="D9" s="7">
        <v>43510</v>
      </c>
      <c r="E9" s="8" t="s">
        <v>1156</v>
      </c>
      <c r="F9" s="8"/>
      <c r="G9" s="8"/>
      <c r="H9" s="8"/>
      <c r="I9" s="8" t="s">
        <v>1156</v>
      </c>
      <c r="J9" s="8"/>
      <c r="K9" s="8" t="s">
        <v>1156</v>
      </c>
      <c r="L9" s="8"/>
      <c r="M9" s="8"/>
      <c r="N9" s="9" t="str">
        <f>HYPERLINK("mailto:colleen.smith@dhhs.nh.gov","Colleen Smith")</f>
        <v>Colleen Smith</v>
      </c>
      <c r="O9" s="10" t="str">
        <f>HYPERLINK("mailto:Alfred.Pistorio@fda.hhs.gov","Alfred Pistorio")</f>
        <v>Alfred Pistorio</v>
      </c>
    </row>
    <row r="10" spans="1:15" ht="30" x14ac:dyDescent="0.25">
      <c r="A10" s="29" t="s">
        <v>1157</v>
      </c>
      <c r="B10" s="12">
        <v>38475</v>
      </c>
      <c r="C10" s="13">
        <v>1</v>
      </c>
      <c r="D10" s="12">
        <v>38834</v>
      </c>
      <c r="E10" s="13"/>
      <c r="F10" s="13" t="s">
        <v>1158</v>
      </c>
      <c r="G10" s="13"/>
      <c r="H10" s="13"/>
      <c r="I10" s="13" t="s">
        <v>1158</v>
      </c>
      <c r="J10" s="13"/>
      <c r="K10" s="13" t="s">
        <v>1158</v>
      </c>
      <c r="L10" s="13"/>
      <c r="M10" s="13"/>
      <c r="N10" s="14" t="str">
        <f>HYPERLINK("mailto:blockard@salemnh.gov","Brian Lockard")</f>
        <v>Brian Lockard</v>
      </c>
      <c r="O10" s="15" t="str">
        <f>HYPERLINK("mailto:Alfred.Pistorio@fda.hhs.gov","Alfred Pistorio")</f>
        <v>Alfred Pistorio</v>
      </c>
    </row>
    <row r="11" spans="1:15" ht="30" x14ac:dyDescent="0.25">
      <c r="A11" s="29" t="s">
        <v>1157</v>
      </c>
      <c r="B11" s="12">
        <v>38475</v>
      </c>
      <c r="C11" s="13">
        <v>2</v>
      </c>
      <c r="D11" s="12">
        <v>41043</v>
      </c>
      <c r="E11" s="13"/>
      <c r="F11" s="13" t="s">
        <v>1159</v>
      </c>
      <c r="G11" s="13"/>
      <c r="H11" s="13"/>
      <c r="I11" s="13" t="s">
        <v>1159</v>
      </c>
      <c r="J11" s="13"/>
      <c r="K11" s="13" t="s">
        <v>1159</v>
      </c>
      <c r="L11" s="13"/>
      <c r="M11" s="13"/>
      <c r="N11" s="14" t="str">
        <f>HYPERLINK("mailto:blockard@salemnh.gov","Brian Lockard")</f>
        <v>Brian Lockard</v>
      </c>
      <c r="O11" s="15" t="str">
        <f>HYPERLINK("mailto:Alfred.Pistorio@fda.hhs.gov","Alfred Pistorio")</f>
        <v>Alfred Pistorio</v>
      </c>
    </row>
    <row r="12" spans="1:15" ht="30" x14ac:dyDescent="0.25">
      <c r="A12" s="30" t="s">
        <v>1157</v>
      </c>
      <c r="B12" s="23">
        <v>38475</v>
      </c>
      <c r="C12" s="24">
        <v>3</v>
      </c>
      <c r="D12" s="23">
        <v>42870</v>
      </c>
      <c r="E12" s="24"/>
      <c r="F12" s="24" t="s">
        <v>1160</v>
      </c>
      <c r="G12" s="24"/>
      <c r="H12" s="24"/>
      <c r="I12" s="24" t="s">
        <v>1160</v>
      </c>
      <c r="J12" s="24"/>
      <c r="K12" s="24" t="s">
        <v>1160</v>
      </c>
      <c r="L12" s="24"/>
      <c r="M12" s="24"/>
      <c r="N12" s="25" t="str">
        <f>HYPERLINK("mailto:blockard@salemnh.gov","Brian Lockard")</f>
        <v>Brian Lockard</v>
      </c>
      <c r="O12" s="26" t="str">
        <f>HYPERLINK("mailto:Alfred.Pistorio@fda.hhs.gov","Alfred Pistorio")</f>
        <v>Alfred Pistorio</v>
      </c>
    </row>
  </sheetData>
  <pageMargins left="0.15" right="0.15" top="0.25" bottom="0.25" header="0.05" footer="0.05"/>
  <pageSetup orientation="landscape" r:id="rId1"/>
  <tableParts count="1">
    <tablePart r:id="rId2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66AA6-C725-4DB6-84A2-73A27EE1F539}">
  <sheetPr>
    <pageSetUpPr fitToPage="1"/>
  </sheetPr>
  <dimension ref="A1:O15"/>
  <sheetViews>
    <sheetView workbookViewId="0"/>
  </sheetViews>
  <sheetFormatPr defaultRowHeight="15" x14ac:dyDescent="0.25"/>
  <cols>
    <col min="1" max="1" width="33.7109375" customWidth="1"/>
    <col min="2" max="2" width="14.85546875" customWidth="1"/>
    <col min="3" max="3" width="18.42578125" customWidth="1"/>
    <col min="4" max="4" width="22" customWidth="1"/>
    <col min="5" max="13" width="17.28515625" customWidth="1"/>
    <col min="14" max="14" width="14.85546875" customWidth="1"/>
    <col min="15" max="15" width="13.140625" customWidth="1"/>
  </cols>
  <sheetData>
    <row r="1" spans="1:15" x14ac:dyDescent="0.25">
      <c r="A1" t="s">
        <v>1185</v>
      </c>
      <c r="B1" s="2" t="str">
        <f>HYPERLINK("#Introduction!A1","Back to Introduction Page")</f>
        <v>Back to Introduction Page</v>
      </c>
    </row>
    <row r="2" spans="1:15" x14ac:dyDescent="0.25">
      <c r="A2" s="21" t="s">
        <v>1186</v>
      </c>
    </row>
    <row r="3" spans="1:15" ht="45" x14ac:dyDescent="0.25">
      <c r="A3" s="4" t="s">
        <v>15</v>
      </c>
      <c r="B3" s="3" t="s">
        <v>16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21</v>
      </c>
      <c r="H3" s="3" t="s">
        <v>22</v>
      </c>
      <c r="I3" s="3" t="s">
        <v>23</v>
      </c>
      <c r="J3" s="3" t="s">
        <v>24</v>
      </c>
      <c r="K3" s="3" t="s">
        <v>25</v>
      </c>
      <c r="L3" s="3" t="s">
        <v>26</v>
      </c>
      <c r="M3" s="3" t="s">
        <v>27</v>
      </c>
      <c r="N3" s="3" t="s">
        <v>28</v>
      </c>
      <c r="O3" s="5" t="s">
        <v>29</v>
      </c>
    </row>
    <row r="4" spans="1:15" ht="30" x14ac:dyDescent="0.25">
      <c r="A4" s="28" t="s">
        <v>1163</v>
      </c>
      <c r="B4" s="7">
        <v>37502</v>
      </c>
      <c r="C4" s="8">
        <v>1</v>
      </c>
      <c r="D4" s="8"/>
      <c r="E4" s="8"/>
      <c r="F4" s="8"/>
      <c r="G4" s="8"/>
      <c r="H4" s="8"/>
      <c r="I4" s="8"/>
      <c r="J4" s="8"/>
      <c r="K4" s="8"/>
      <c r="L4" s="8"/>
      <c r="M4" s="8"/>
      <c r="N4" s="9" t="str">
        <f>HYPERLINK("mailto:dfinch@cityofatlanticcity.org","Dale Finch")</f>
        <v>Dale Finch</v>
      </c>
      <c r="O4" s="10" t="str">
        <f>HYPERLINK("mailto:Mary.Leong@fda.hhs.gov","Mary Leong")</f>
        <v>Mary Leong</v>
      </c>
    </row>
    <row r="5" spans="1:15" ht="30" x14ac:dyDescent="0.25">
      <c r="A5" s="29" t="s">
        <v>1164</v>
      </c>
      <c r="B5" s="12">
        <v>42247</v>
      </c>
      <c r="C5" s="13">
        <v>1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4" t="str">
        <f>HYPERLINK("mailto:mgrochowski@camdencounty.com","Matthew Grochowski")</f>
        <v>Matthew Grochowski</v>
      </c>
      <c r="O5" s="15" t="str">
        <f>HYPERLINK("mailto:Mary.Leong@fda.hhs.gov","Mary Leong")</f>
        <v>Mary Leong</v>
      </c>
    </row>
    <row r="6" spans="1:15" x14ac:dyDescent="0.25">
      <c r="A6" s="28" t="s">
        <v>1165</v>
      </c>
      <c r="B6" s="7">
        <v>39946</v>
      </c>
      <c r="C6" s="8">
        <v>1</v>
      </c>
      <c r="D6" s="8"/>
      <c r="E6" s="8"/>
      <c r="F6" s="8"/>
      <c r="G6" s="8"/>
      <c r="H6" s="8"/>
      <c r="I6" s="8"/>
      <c r="J6" s="8"/>
      <c r="K6" s="8"/>
      <c r="L6" s="8"/>
      <c r="M6" s="8"/>
      <c r="N6" s="8" t="s">
        <v>1166</v>
      </c>
      <c r="O6" s="10" t="str">
        <f>HYPERLINK("mailto:Mary.Leong@fda.hhs.gov","Mary Leong")</f>
        <v>Mary Leong</v>
      </c>
    </row>
    <row r="7" spans="1:15" ht="30" x14ac:dyDescent="0.25">
      <c r="A7" s="29" t="s">
        <v>1167</v>
      </c>
      <c r="B7" s="12">
        <v>41907</v>
      </c>
      <c r="C7" s="13">
        <v>1</v>
      </c>
      <c r="D7" s="12">
        <v>42241</v>
      </c>
      <c r="E7" s="13"/>
      <c r="F7" s="13"/>
      <c r="G7" s="13" t="s">
        <v>719</v>
      </c>
      <c r="H7" s="13"/>
      <c r="I7" s="13" t="s">
        <v>1168</v>
      </c>
      <c r="J7" s="13"/>
      <c r="K7" s="13" t="s">
        <v>1169</v>
      </c>
      <c r="L7" s="13"/>
      <c r="M7" s="13"/>
      <c r="N7" s="14" t="str">
        <f>HYPERLINK("mailto:jfedorko@englewoodnj.org","James Fedorko")</f>
        <v>James Fedorko</v>
      </c>
      <c r="O7" s="15" t="str">
        <f>HYPERLINK("mailto:Mary.Leong@fda.hhs.gov","Mary Leong")</f>
        <v>Mary Leong</v>
      </c>
    </row>
    <row r="8" spans="1:15" ht="30" x14ac:dyDescent="0.25">
      <c r="A8" s="28" t="s">
        <v>1170</v>
      </c>
      <c r="B8" s="7">
        <v>37502</v>
      </c>
      <c r="C8" s="8">
        <v>1</v>
      </c>
      <c r="D8" s="7">
        <v>38153</v>
      </c>
      <c r="E8" s="8" t="s">
        <v>1171</v>
      </c>
      <c r="F8" s="8" t="s">
        <v>1171</v>
      </c>
      <c r="G8" s="8" t="s">
        <v>1172</v>
      </c>
      <c r="H8" s="8" t="s">
        <v>1173</v>
      </c>
      <c r="I8" s="8" t="s">
        <v>1171</v>
      </c>
      <c r="J8" s="8" t="s">
        <v>1171</v>
      </c>
      <c r="K8" s="8" t="s">
        <v>1171</v>
      </c>
      <c r="L8" s="8" t="s">
        <v>1172</v>
      </c>
      <c r="M8" s="8" t="s">
        <v>1172</v>
      </c>
      <c r="N8" s="9" t="str">
        <f>HYPERLINK("mailto:jbarbino@vinelandcity.org","Jeanne Garbarino")</f>
        <v>Jeanne Garbarino</v>
      </c>
      <c r="O8" s="10" t="str">
        <f>HYPERLINK("mailto:Mary.Leong@fda.hhs.gov","Mary Leong")</f>
        <v>Mary Leong</v>
      </c>
    </row>
    <row r="9" spans="1:15" ht="30" x14ac:dyDescent="0.25">
      <c r="A9" s="28" t="s">
        <v>1170</v>
      </c>
      <c r="B9" s="7">
        <v>37502</v>
      </c>
      <c r="C9" s="8">
        <v>2</v>
      </c>
      <c r="D9" s="7">
        <v>42466</v>
      </c>
      <c r="E9" s="8"/>
      <c r="F9" s="8" t="s">
        <v>1174</v>
      </c>
      <c r="G9" s="8" t="s">
        <v>1175</v>
      </c>
      <c r="H9" s="8" t="s">
        <v>1176</v>
      </c>
      <c r="I9" s="8" t="s">
        <v>1177</v>
      </c>
      <c r="J9" s="8"/>
      <c r="K9" s="8" t="s">
        <v>1175</v>
      </c>
      <c r="L9" s="8" t="s">
        <v>1178</v>
      </c>
      <c r="M9" s="8" t="s">
        <v>1174</v>
      </c>
      <c r="N9" s="9" t="str">
        <f>HYPERLINK("mailto:cfisher@vinelandcity.org","Carolyn Fisher")</f>
        <v>Carolyn Fisher</v>
      </c>
      <c r="O9" s="10" t="str">
        <f>HYPERLINK("mailto:Mary.Leong@fda.hhs.gov","Mary Leong")</f>
        <v>Mary Leong</v>
      </c>
    </row>
    <row r="10" spans="1:15" ht="30" x14ac:dyDescent="0.25">
      <c r="A10" s="11" t="str">
        <f>HYPERLINK("http://www.co.cumberland.nj.us/ccdoh","Cumberland County Health Department  ")</f>
        <v>Cumberland County Health Department  </v>
      </c>
      <c r="B10" s="12">
        <v>42633</v>
      </c>
      <c r="C10" s="13">
        <v>1</v>
      </c>
      <c r="D10" s="12">
        <v>42978</v>
      </c>
      <c r="E10" s="13"/>
      <c r="F10" s="13"/>
      <c r="G10" s="13"/>
      <c r="H10" s="13"/>
      <c r="I10" s="13"/>
      <c r="J10" s="13"/>
      <c r="K10" s="13" t="s">
        <v>1179</v>
      </c>
      <c r="L10" s="13"/>
      <c r="M10" s="13"/>
      <c r="N10" s="14" t="str">
        <f>HYPERLINK("mailto:kgandy@ccdoh.org","Kathleen Gandy")</f>
        <v>Kathleen Gandy</v>
      </c>
      <c r="O10" s="15" t="str">
        <f>HYPERLINK("mailto:Mary.Leong@fda.hhs.gov","Mary Leong")</f>
        <v>Mary Leong</v>
      </c>
    </row>
    <row r="11" spans="1:15" ht="30" x14ac:dyDescent="0.25">
      <c r="A11" s="28" t="s">
        <v>1180</v>
      </c>
      <c r="B11" s="7">
        <v>41095</v>
      </c>
      <c r="C11" s="8">
        <v>1</v>
      </c>
      <c r="D11" s="7">
        <v>41443</v>
      </c>
      <c r="E11" s="8"/>
      <c r="F11" s="8"/>
      <c r="G11" s="8" t="s">
        <v>1181</v>
      </c>
      <c r="H11" s="8"/>
      <c r="I11" s="8" t="s">
        <v>1181</v>
      </c>
      <c r="J11" s="8"/>
      <c r="K11" s="8" t="s">
        <v>1181</v>
      </c>
      <c r="L11" s="8"/>
      <c r="M11" s="8" t="s">
        <v>1181</v>
      </c>
      <c r="N11" s="9" t="str">
        <f>HYPERLINK("mailto:david.kolegnisky@co.middlesex.nj.gov","David Kolegnisky")</f>
        <v>David Kolegnisky</v>
      </c>
      <c r="O11" s="10" t="str">
        <f>HYPERLINK("mailto:Mary.Leong@fda.hhs.gov","Mary Leong")</f>
        <v>Mary Leong</v>
      </c>
    </row>
    <row r="12" spans="1:15" ht="30" x14ac:dyDescent="0.25">
      <c r="A12" s="11" t="str">
        <f>HYPERLINK("https://health.morriscountynj.gov/","Morris County Office Health Management")</f>
        <v>Morris County Office Health Management</v>
      </c>
      <c r="B12" s="12">
        <v>42270</v>
      </c>
      <c r="C12" s="13">
        <v>1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4" t="str">
        <f>HYPERLINK("mailto:SGorman@co.morris.nj.us","Stephanie Gorman")</f>
        <v>Stephanie Gorman</v>
      </c>
      <c r="O12" s="15" t="str">
        <f>HYPERLINK("mailto:Mary.Leong@fda.hhs.gov","Mary Leong")</f>
        <v>Mary Leong</v>
      </c>
    </row>
    <row r="13" spans="1:15" ht="45" x14ac:dyDescent="0.25">
      <c r="A13" s="28" t="s">
        <v>1182</v>
      </c>
      <c r="B13" s="7">
        <v>38419</v>
      </c>
      <c r="C13" s="8">
        <v>1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9" t="str">
        <f>HYPERLINK("mailto:William.Manley@doh.state.nj.us","William Manley")</f>
        <v>William Manley</v>
      </c>
      <c r="O13" s="10" t="str">
        <f>HYPERLINK("mailto:Mary.Leong@fda.hhs.gov","Mary Leong")</f>
        <v>Mary Leong</v>
      </c>
    </row>
    <row r="14" spans="1:15" ht="30" x14ac:dyDescent="0.25">
      <c r="A14" s="11" t="str">
        <f>HYPERLINK("http://www.montclairnjusa.org/content/blogcategory/191/425/","Township of Montclair, Department of Health")</f>
        <v>Township of Montclair, Department of Health</v>
      </c>
      <c r="B14" s="12">
        <v>38257</v>
      </c>
      <c r="C14" s="13">
        <v>1</v>
      </c>
      <c r="D14" s="12">
        <v>38572</v>
      </c>
      <c r="E14" s="13"/>
      <c r="F14" s="13"/>
      <c r="G14" s="13"/>
      <c r="H14" s="13"/>
      <c r="I14" s="13"/>
      <c r="J14" s="13"/>
      <c r="K14" s="13"/>
      <c r="L14" s="13"/>
      <c r="M14" s="13"/>
      <c r="N14" s="13" t="s">
        <v>1183</v>
      </c>
      <c r="O14" s="15" t="str">
        <f>HYPERLINK("mailto:Mary.Leong@fda.hhs.gov","Mary Leong")</f>
        <v>Mary Leong</v>
      </c>
    </row>
    <row r="15" spans="1:15" ht="30" x14ac:dyDescent="0.25">
      <c r="A15" s="27" t="s">
        <v>1184</v>
      </c>
      <c r="B15" s="17">
        <v>42265</v>
      </c>
      <c r="C15" s="18">
        <v>1</v>
      </c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9" t="str">
        <f>HYPERLINK("mailto:Helenmendez@westfield.nj.gov","Helen Mendez")</f>
        <v>Helen Mendez</v>
      </c>
      <c r="O15" s="20" t="str">
        <f>HYPERLINK("mailto:Mary.Leong@fda.hhs.gov","Mary Leong")</f>
        <v>Mary Leong</v>
      </c>
    </row>
  </sheetData>
  <pageMargins left="0.15" right="0.15" top="0.25" bottom="0.25" header="0.05" footer="0.05"/>
  <pageSetup orientation="landscape" r:id="rId1"/>
  <tableParts count="1">
    <tablePart r:id="rId2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5E57A-E9BE-467B-A7C3-27E163AF7EA7}">
  <sheetPr>
    <pageSetUpPr fitToPage="1"/>
  </sheetPr>
  <dimension ref="A1:O11"/>
  <sheetViews>
    <sheetView workbookViewId="0"/>
  </sheetViews>
  <sheetFormatPr defaultRowHeight="15" x14ac:dyDescent="0.25"/>
  <cols>
    <col min="1" max="1" width="33.7109375" customWidth="1"/>
    <col min="2" max="2" width="14.85546875" customWidth="1"/>
    <col min="3" max="3" width="18.42578125" customWidth="1"/>
    <col min="4" max="4" width="22" customWidth="1"/>
    <col min="5" max="13" width="17.28515625" customWidth="1"/>
    <col min="14" max="14" width="14.85546875" customWidth="1"/>
    <col min="15" max="15" width="13.140625" customWidth="1"/>
  </cols>
  <sheetData>
    <row r="1" spans="1:15" x14ac:dyDescent="0.25">
      <c r="A1" t="s">
        <v>1201</v>
      </c>
      <c r="B1" s="2" t="str">
        <f>HYPERLINK("#Introduction!A1","Back to Introduction Page")</f>
        <v>Back to Introduction Page</v>
      </c>
    </row>
    <row r="2" spans="1:15" x14ac:dyDescent="0.25">
      <c r="A2" s="21" t="s">
        <v>1202</v>
      </c>
    </row>
    <row r="3" spans="1:15" ht="45" x14ac:dyDescent="0.25">
      <c r="A3" s="4" t="s">
        <v>15</v>
      </c>
      <c r="B3" s="3" t="s">
        <v>16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21</v>
      </c>
      <c r="H3" s="3" t="s">
        <v>22</v>
      </c>
      <c r="I3" s="3" t="s">
        <v>23</v>
      </c>
      <c r="J3" s="3" t="s">
        <v>24</v>
      </c>
      <c r="K3" s="3" t="s">
        <v>25</v>
      </c>
      <c r="L3" s="3" t="s">
        <v>26</v>
      </c>
      <c r="M3" s="3" t="s">
        <v>27</v>
      </c>
      <c r="N3" s="3" t="s">
        <v>28</v>
      </c>
      <c r="O3" s="5" t="s">
        <v>29</v>
      </c>
    </row>
    <row r="4" spans="1:15" ht="30" x14ac:dyDescent="0.25">
      <c r="A4" s="6" t="str">
        <f>HYPERLINK("http://www.ihs.gov/albuquerque","Albuquerque Area Indian Health Service")</f>
        <v>Albuquerque Area Indian Health Service</v>
      </c>
      <c r="B4" s="7">
        <v>38387</v>
      </c>
      <c r="C4" s="8">
        <v>1</v>
      </c>
      <c r="D4" s="7">
        <v>38638</v>
      </c>
      <c r="E4" s="8"/>
      <c r="F4" s="8"/>
      <c r="G4" s="8"/>
      <c r="H4" s="8"/>
      <c r="I4" s="8"/>
      <c r="J4" s="8"/>
      <c r="K4" s="8"/>
      <c r="L4" s="8"/>
      <c r="M4" s="8"/>
      <c r="N4" s="9" t="str">
        <f>HYPERLINK("mailto:debra.grabowski@ihs.gov","Debra Grabowski")</f>
        <v>Debra Grabowski</v>
      </c>
      <c r="O4" s="10" t="str">
        <f>HYPERLINK("mailto:Celeste.Parker@fda.hhs.gov","Celeste Parker")</f>
        <v>Celeste Parker</v>
      </c>
    </row>
    <row r="5" spans="1:15" ht="30" x14ac:dyDescent="0.25">
      <c r="A5" s="6" t="str">
        <f>HYPERLINK("http://www.ihs.gov/albuquerque","Albuquerque Area Indian Health Service")</f>
        <v>Albuquerque Area Indian Health Service</v>
      </c>
      <c r="B5" s="7">
        <v>38387</v>
      </c>
      <c r="C5" s="8">
        <v>2</v>
      </c>
      <c r="D5" s="7">
        <v>40210</v>
      </c>
      <c r="E5" s="8"/>
      <c r="F5" s="8"/>
      <c r="G5" s="8" t="s">
        <v>1187</v>
      </c>
      <c r="H5" s="8"/>
      <c r="I5" s="8" t="s">
        <v>1188</v>
      </c>
      <c r="J5" s="8"/>
      <c r="K5" s="8" t="s">
        <v>1189</v>
      </c>
      <c r="L5" s="8"/>
      <c r="M5" s="8"/>
      <c r="N5" s="9" t="str">
        <f>HYPERLINK("mailto:debra.grabowski@ihs.gov","Debra Grabowski")</f>
        <v>Debra Grabowski</v>
      </c>
      <c r="O5" s="10" t="str">
        <f>HYPERLINK("mailto:Celeste.Parker@fda.hhs.gov","Celeste Parker")</f>
        <v>Celeste Parker</v>
      </c>
    </row>
    <row r="6" spans="1:15" ht="30" x14ac:dyDescent="0.25">
      <c r="A6" s="11" t="str">
        <f>HYPERLINK("http://www.bernco.gov/planning/consumer-health-protection.aspx","Bernalillo County Environment Department")</f>
        <v>Bernalillo County Environment Department</v>
      </c>
      <c r="B6" s="12">
        <v>38590</v>
      </c>
      <c r="C6" s="13">
        <v>1</v>
      </c>
      <c r="D6" s="12">
        <v>38944</v>
      </c>
      <c r="E6" s="13" t="s">
        <v>1190</v>
      </c>
      <c r="F6" s="13"/>
      <c r="G6" s="13"/>
      <c r="H6" s="13"/>
      <c r="I6" s="13"/>
      <c r="J6" s="13"/>
      <c r="K6" s="13"/>
      <c r="L6" s="13"/>
      <c r="M6" s="13"/>
      <c r="N6" s="14" t="str">
        <f>HYPERLINK("mailto:ltafoya@bernco.gov","Lucas Tafoya")</f>
        <v>Lucas Tafoya</v>
      </c>
      <c r="O6" s="15" t="str">
        <f>HYPERLINK("mailto:Celeste.Parker@fda.hhs.gov","Celeste Parker")</f>
        <v>Celeste Parker</v>
      </c>
    </row>
    <row r="7" spans="1:15" ht="30" x14ac:dyDescent="0.25">
      <c r="A7" s="11" t="str">
        <f>HYPERLINK("http://www.bernco.gov/planning/consumer-health-protection.aspx","Bernalillo County Environment Department")</f>
        <v>Bernalillo County Environment Department</v>
      </c>
      <c r="B7" s="12">
        <v>38590</v>
      </c>
      <c r="C7" s="13">
        <v>2</v>
      </c>
      <c r="D7" s="12">
        <v>41072</v>
      </c>
      <c r="E7" s="13" t="s">
        <v>1191</v>
      </c>
      <c r="F7" s="13"/>
      <c r="G7" s="13" t="s">
        <v>1192</v>
      </c>
      <c r="H7" s="13"/>
      <c r="I7" s="13" t="s">
        <v>1193</v>
      </c>
      <c r="J7" s="13"/>
      <c r="K7" s="13"/>
      <c r="L7" s="13"/>
      <c r="M7" s="13"/>
      <c r="N7" s="14" t="str">
        <f>HYPERLINK("mailto:ltafoya@bernco.gov","Lucas Tafoya")</f>
        <v>Lucas Tafoya</v>
      </c>
      <c r="O7" s="15" t="str">
        <f>HYPERLINK("mailto:Celeste.Parker@fda.hhs.gov","Celeste Parker")</f>
        <v>Celeste Parker</v>
      </c>
    </row>
    <row r="8" spans="1:15" ht="45" x14ac:dyDescent="0.25">
      <c r="A8" s="6" t="str">
        <f>HYPERLINK("https://www.cabq.gov/environmentalhealth","City of Albuquerque Environmental Health Department")</f>
        <v>City of Albuquerque Environmental Health Department</v>
      </c>
      <c r="B8" s="7">
        <v>37159</v>
      </c>
      <c r="C8" s="8">
        <v>1</v>
      </c>
      <c r="D8" s="7">
        <v>37679</v>
      </c>
      <c r="E8" s="8"/>
      <c r="F8" s="8" t="s">
        <v>1194</v>
      </c>
      <c r="G8" s="8"/>
      <c r="H8" s="8" t="s">
        <v>1194</v>
      </c>
      <c r="I8" s="8" t="s">
        <v>1194</v>
      </c>
      <c r="J8" s="8"/>
      <c r="K8" s="8"/>
      <c r="L8" s="8"/>
      <c r="M8" s="8"/>
      <c r="N8" s="9" t="str">
        <f>HYPERLINK("mailto:lstoller@cabq.gov","Lorie Stoller")</f>
        <v>Lorie Stoller</v>
      </c>
      <c r="O8" s="10" t="str">
        <f>HYPERLINK("mailto:Celeste.Parker@fda.hhs.gov","Celeste Parker")</f>
        <v>Celeste Parker</v>
      </c>
    </row>
    <row r="9" spans="1:15" ht="45" x14ac:dyDescent="0.25">
      <c r="A9" s="6" t="str">
        <f>HYPERLINK("https://www.cabq.gov/environmentalhealth","City of Albuquerque Environmental Health Department")</f>
        <v>City of Albuquerque Environmental Health Department</v>
      </c>
      <c r="B9" s="7">
        <v>37159</v>
      </c>
      <c r="C9" s="8">
        <v>2</v>
      </c>
      <c r="D9" s="7">
        <v>42370</v>
      </c>
      <c r="E9" s="8" t="s">
        <v>1195</v>
      </c>
      <c r="F9" s="8"/>
      <c r="G9" s="8"/>
      <c r="H9" s="8" t="s">
        <v>1196</v>
      </c>
      <c r="I9" s="8" t="s">
        <v>1197</v>
      </c>
      <c r="J9" s="8"/>
      <c r="K9" s="8" t="s">
        <v>1198</v>
      </c>
      <c r="L9" s="8"/>
      <c r="M9" s="8"/>
      <c r="N9" s="9" t="str">
        <f>HYPERLINK("mailto:lstoller@cabq.gov","Lorie Stoller")</f>
        <v>Lorie Stoller</v>
      </c>
      <c r="O9" s="10" t="str">
        <f>HYPERLINK("mailto:Celeste.Parker@fda.hhs.gov","Celeste Parker")</f>
        <v>Celeste Parker</v>
      </c>
    </row>
    <row r="10" spans="1:15" ht="30" x14ac:dyDescent="0.25">
      <c r="A10" s="29" t="s">
        <v>1199</v>
      </c>
      <c r="B10" s="12">
        <v>38315</v>
      </c>
      <c r="C10" s="13">
        <v>1</v>
      </c>
      <c r="D10" s="12">
        <v>38586</v>
      </c>
      <c r="E10" s="13"/>
      <c r="F10" s="13"/>
      <c r="G10" s="13"/>
      <c r="H10" s="13"/>
      <c r="I10" s="13"/>
      <c r="J10" s="13"/>
      <c r="K10" s="13" t="s">
        <v>1200</v>
      </c>
      <c r="L10" s="13"/>
      <c r="M10" s="13"/>
      <c r="N10" s="14" t="str">
        <f>HYPERLINK("mailto:johnathan.gerhardt@state.nm.us","Johnathan Gerhardt")</f>
        <v>Johnathan Gerhardt</v>
      </c>
      <c r="O10" s="15" t="str">
        <f>HYPERLINK("mailto:Celeste.Parker@fda.hhs.gov","Celeste Parker")</f>
        <v>Celeste Parker</v>
      </c>
    </row>
    <row r="11" spans="1:15" ht="30" x14ac:dyDescent="0.25">
      <c r="A11" s="30" t="s">
        <v>1199</v>
      </c>
      <c r="B11" s="23">
        <v>38315</v>
      </c>
      <c r="C11" s="24">
        <v>2</v>
      </c>
      <c r="D11" s="23">
        <v>40359</v>
      </c>
      <c r="E11" s="24"/>
      <c r="F11" s="24"/>
      <c r="G11" s="24"/>
      <c r="H11" s="24"/>
      <c r="I11" s="24"/>
      <c r="J11" s="24"/>
      <c r="K11" s="24" t="s">
        <v>406</v>
      </c>
      <c r="L11" s="24"/>
      <c r="M11" s="24"/>
      <c r="N11" s="25" t="str">
        <f>HYPERLINK("mailto:johnathan.gerhardt@state.nm.us","Johnathan Gerhardt")</f>
        <v>Johnathan Gerhardt</v>
      </c>
      <c r="O11" s="26" t="str">
        <f>HYPERLINK("mailto:Celeste.Parker@fda.hhs.gov","Celeste Parker")</f>
        <v>Celeste Parker</v>
      </c>
    </row>
  </sheetData>
  <pageMargins left="0.15" right="0.15" top="0.25" bottom="0.25" header="0.05" footer="0.05"/>
  <pageSetup orientation="landscape" r:id="rId1"/>
  <tableParts count="1">
    <tablePart r:id="rId2"/>
  </tablePart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CBD3E-09E3-4D79-BB93-D5BDCC696330}">
  <sheetPr>
    <pageSetUpPr fitToPage="1"/>
  </sheetPr>
  <dimension ref="A1:O11"/>
  <sheetViews>
    <sheetView workbookViewId="0"/>
  </sheetViews>
  <sheetFormatPr defaultRowHeight="15" x14ac:dyDescent="0.25"/>
  <cols>
    <col min="1" max="1" width="33.7109375" customWidth="1"/>
    <col min="2" max="2" width="14.85546875" customWidth="1"/>
    <col min="3" max="3" width="18.42578125" customWidth="1"/>
    <col min="4" max="4" width="22" customWidth="1"/>
    <col min="5" max="13" width="17.28515625" customWidth="1"/>
    <col min="14" max="14" width="14.85546875" customWidth="1"/>
    <col min="15" max="15" width="13.140625" customWidth="1"/>
  </cols>
  <sheetData>
    <row r="1" spans="1:15" x14ac:dyDescent="0.25">
      <c r="A1" t="s">
        <v>1208</v>
      </c>
      <c r="B1" s="2" t="str">
        <f>HYPERLINK("#Introduction!A1","Back to Introduction Page")</f>
        <v>Back to Introduction Page</v>
      </c>
    </row>
    <row r="2" spans="1:15" x14ac:dyDescent="0.25">
      <c r="A2" s="21" t="s">
        <v>1209</v>
      </c>
    </row>
    <row r="3" spans="1:15" ht="45" x14ac:dyDescent="0.25">
      <c r="A3" s="4" t="s">
        <v>15</v>
      </c>
      <c r="B3" s="3" t="s">
        <v>16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21</v>
      </c>
      <c r="H3" s="3" t="s">
        <v>22</v>
      </c>
      <c r="I3" s="3" t="s">
        <v>23</v>
      </c>
      <c r="J3" s="3" t="s">
        <v>24</v>
      </c>
      <c r="K3" s="3" t="s">
        <v>25</v>
      </c>
      <c r="L3" s="3" t="s">
        <v>26</v>
      </c>
      <c r="M3" s="3" t="s">
        <v>27</v>
      </c>
      <c r="N3" s="3" t="s">
        <v>28</v>
      </c>
      <c r="O3" s="5" t="s">
        <v>29</v>
      </c>
    </row>
    <row r="4" spans="1:15" ht="30" x14ac:dyDescent="0.25">
      <c r="A4" s="6" t="str">
        <f>HYPERLINK("http://www.geneseeny.com/","Genesee County Health Department")</f>
        <v>Genesee County Health Department</v>
      </c>
      <c r="B4" s="7">
        <v>42284</v>
      </c>
      <c r="C4" s="8">
        <v>1</v>
      </c>
      <c r="D4" s="7">
        <v>42675</v>
      </c>
      <c r="E4" s="8"/>
      <c r="F4" s="8"/>
      <c r="G4" s="8"/>
      <c r="H4" s="8"/>
      <c r="I4" s="8"/>
      <c r="J4" s="8"/>
      <c r="K4" s="8"/>
      <c r="L4" s="8"/>
      <c r="M4" s="8"/>
      <c r="N4" s="9" t="str">
        <f>HYPERLINK("mailto:Brenden.Bedard@co.genesee.ny.us","Brenden Bedard")</f>
        <v>Brenden Bedard</v>
      </c>
      <c r="O4" s="10" t="str">
        <f>HYPERLINK("mailto:Mary.Leong@fda.hhs.gov","Mary Leong")</f>
        <v>Mary Leong</v>
      </c>
    </row>
    <row r="5" spans="1:15" ht="30" x14ac:dyDescent="0.25">
      <c r="A5" s="11" t="str">
        <f>HYPERLINK("https://www.nassaucountyny.gov/agencies/Health/","Nassau County Deparment of Health")</f>
        <v>Nassau County Deparment of Health</v>
      </c>
      <c r="B5" s="12">
        <v>41912</v>
      </c>
      <c r="C5" s="13">
        <v>1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4" t="str">
        <f>HYPERLINK("mailto:jlynch@nassaucountyny.gov","John Lynch")</f>
        <v>John Lynch</v>
      </c>
      <c r="O5" s="15" t="str">
        <f>HYPERLINK("mailto:Mary.Leong@fda.hhs.gov","Mary Leong")</f>
        <v>Mary Leong</v>
      </c>
    </row>
    <row r="6" spans="1:15" ht="45" x14ac:dyDescent="0.25">
      <c r="A6" s="6" t="str">
        <f>HYPERLINK("http://www1.nyc.gov/site/doh/index.page","New York City Department of Health and Mental Hygiene")</f>
        <v>New York City Department of Health and Mental Hygiene</v>
      </c>
      <c r="B6" s="7">
        <v>42810</v>
      </c>
      <c r="C6" s="8">
        <v>1</v>
      </c>
      <c r="D6" s="8"/>
      <c r="E6" s="8"/>
      <c r="F6" s="8"/>
      <c r="G6" s="8"/>
      <c r="H6" s="8"/>
      <c r="I6" s="8"/>
      <c r="J6" s="8"/>
      <c r="K6" s="8"/>
      <c r="L6" s="8"/>
      <c r="M6" s="8"/>
      <c r="N6" s="9" t="str">
        <f>HYPERLINK("mailto:kcrayne1@health.nyc.gov","Keri Crayne")</f>
        <v>Keri Crayne</v>
      </c>
      <c r="O6" s="10" t="str">
        <f>HYPERLINK("mailto:Mary.Leong@fda.hhs.gov","Mary Leong")</f>
        <v>Mary Leong</v>
      </c>
    </row>
    <row r="7" spans="1:15" ht="30" x14ac:dyDescent="0.25">
      <c r="A7" s="11" t="str">
        <f>HYPERLINK("http://www.health.ny.gov/","New York State Department of Health")</f>
        <v>New York State Department of Health</v>
      </c>
      <c r="B7" s="12">
        <v>39959</v>
      </c>
      <c r="C7" s="13">
        <v>1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4" t="str">
        <f>HYPERLINK("mailto:michael.cambridge@health.ny.gov","Michael J. Cambridge")</f>
        <v>Michael J. Cambridge</v>
      </c>
      <c r="O7" s="15" t="str">
        <f>HYPERLINK("mailto:Mary.Leong@fda.hhs.gov","Mary Leong")</f>
        <v>Mary Leong</v>
      </c>
    </row>
    <row r="8" spans="1:15" ht="30" x14ac:dyDescent="0.25">
      <c r="A8" s="6" t="str">
        <f>HYPERLINK("http://www.orleansny.com/Departments/Health/PublicHealth.aspx","Orleans County Health Department")</f>
        <v>Orleans County Health Department</v>
      </c>
      <c r="B8" s="7">
        <v>42284</v>
      </c>
      <c r="C8" s="8">
        <v>1</v>
      </c>
      <c r="D8" s="7">
        <v>42675</v>
      </c>
      <c r="E8" s="8"/>
      <c r="F8" s="8"/>
      <c r="G8" s="8"/>
      <c r="H8" s="8"/>
      <c r="I8" s="8"/>
      <c r="J8" s="8"/>
      <c r="K8" s="8"/>
      <c r="L8" s="8"/>
      <c r="M8" s="8"/>
      <c r="N8" s="9" t="str">
        <f>HYPERLINK("mailto:Brenden.Bedard@co.genesee.ny.us","Brenden Bedard")</f>
        <v>Brenden Bedard</v>
      </c>
      <c r="O8" s="10" t="str">
        <f>HYPERLINK("mailto:Mary.Leong@fda.hhs.gov","Mary Leong")</f>
        <v>Mary Leong</v>
      </c>
    </row>
    <row r="9" spans="1:15" ht="30" x14ac:dyDescent="0.25">
      <c r="A9" s="11" t="str">
        <f>HYPERLINK("http://www.srmt-nsn.gov/","Saint Regis Mohawk Tribe Compliance Department")</f>
        <v>Saint Regis Mohawk Tribe Compliance Department</v>
      </c>
      <c r="B9" s="12">
        <v>42495</v>
      </c>
      <c r="C9" s="13">
        <v>1</v>
      </c>
      <c r="D9" s="12">
        <v>42495</v>
      </c>
      <c r="E9" s="13"/>
      <c r="F9" s="13"/>
      <c r="G9" s="13"/>
      <c r="H9" s="13"/>
      <c r="I9" s="13"/>
      <c r="J9" s="13"/>
      <c r="K9" s="13"/>
      <c r="L9" s="13"/>
      <c r="M9" s="13"/>
      <c r="N9" s="14" t="str">
        <f>HYPERLINK("mailto:aman.adams@srmt.nsn.gov","Amanda Adams")</f>
        <v>Amanda Adams</v>
      </c>
      <c r="O9" s="15" t="str">
        <f>HYPERLINK("mailto:Mary.Leong@fda.hhs.gov","Mary Leong")</f>
        <v>Mary Leong</v>
      </c>
    </row>
    <row r="10" spans="1:15" ht="30" x14ac:dyDescent="0.25">
      <c r="A10" s="6" t="str">
        <f>HYPERLINK("http://www.co.suffolk.ny.uslhome/departments/healthservices.aspx","Suffolk County Department of Health Services")</f>
        <v>Suffolk County Department of Health Services</v>
      </c>
      <c r="B10" s="7">
        <v>38035</v>
      </c>
      <c r="C10" s="8">
        <v>1</v>
      </c>
      <c r="D10" s="7">
        <v>40633</v>
      </c>
      <c r="E10" s="8" t="s">
        <v>1203</v>
      </c>
      <c r="F10" s="8"/>
      <c r="G10" s="8" t="s">
        <v>1204</v>
      </c>
      <c r="H10" s="8"/>
      <c r="I10" s="8"/>
      <c r="J10" s="8"/>
      <c r="K10" s="8" t="s">
        <v>1205</v>
      </c>
      <c r="L10" s="8"/>
      <c r="M10" s="8"/>
      <c r="N10" s="9" t="str">
        <f>HYPERLINK("mailto:Christopher.Sortino@suffolkcountyny.gov","Chris Sortino")</f>
        <v>Chris Sortino</v>
      </c>
      <c r="O10" s="10" t="str">
        <f>HYPERLINK("mailto:Mary.Leong@fda.hhs.gov","Mary Leong")</f>
        <v>Mary Leong</v>
      </c>
    </row>
    <row r="11" spans="1:15" ht="30" x14ac:dyDescent="0.25">
      <c r="A11" s="16" t="str">
        <f>HYPERLINK("http://www.co.suffolk.ny.uslhome/departments/healthservices.aspx","Suffolk County Department of Health Services")</f>
        <v>Suffolk County Department of Health Services</v>
      </c>
      <c r="B11" s="17">
        <v>38035</v>
      </c>
      <c r="C11" s="18">
        <v>2</v>
      </c>
      <c r="D11" s="17">
        <v>42885</v>
      </c>
      <c r="E11" s="18" t="s">
        <v>1206</v>
      </c>
      <c r="F11" s="18"/>
      <c r="G11" s="18" t="s">
        <v>1207</v>
      </c>
      <c r="H11" s="18"/>
      <c r="I11" s="18"/>
      <c r="J11" s="18"/>
      <c r="K11" s="18" t="s">
        <v>1206</v>
      </c>
      <c r="L11" s="18"/>
      <c r="M11" s="18"/>
      <c r="N11" s="19" t="str">
        <f>HYPERLINK("mailto:Stephen.Kane@suffolkcountyny.gov","Stephen Kane")</f>
        <v>Stephen Kane</v>
      </c>
      <c r="O11" s="20" t="str">
        <f>HYPERLINK("mailto:Mary.Leong@fda.hhs.gov","Mary Leong")</f>
        <v>Mary Leong</v>
      </c>
    </row>
  </sheetData>
  <pageMargins left="0.15" right="0.15" top="0.25" bottom="0.25" header="0.05" footer="0.05"/>
  <pageSetup orientation="landscape" r:id="rId1"/>
  <tableParts count="1">
    <tablePart r:id="rId2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86032-83CD-43BB-9F69-40D01FBDEE22}">
  <sheetPr>
    <pageSetUpPr fitToPage="1"/>
  </sheetPr>
  <dimension ref="A1:O59"/>
  <sheetViews>
    <sheetView workbookViewId="0"/>
  </sheetViews>
  <sheetFormatPr defaultRowHeight="15" x14ac:dyDescent="0.25"/>
  <cols>
    <col min="1" max="1" width="33.7109375" customWidth="1"/>
    <col min="2" max="2" width="14.85546875" customWidth="1"/>
    <col min="3" max="3" width="18.42578125" customWidth="1"/>
    <col min="4" max="4" width="22" customWidth="1"/>
    <col min="5" max="13" width="17.28515625" customWidth="1"/>
    <col min="14" max="14" width="14.85546875" customWidth="1"/>
    <col min="15" max="15" width="13.140625" customWidth="1"/>
  </cols>
  <sheetData>
    <row r="1" spans="1:15" x14ac:dyDescent="0.25">
      <c r="A1" t="s">
        <v>1311</v>
      </c>
      <c r="B1" s="2" t="str">
        <f>HYPERLINK("#Introduction!A1","Back to Introduction Page")</f>
        <v>Back to Introduction Page</v>
      </c>
    </row>
    <row r="2" spans="1:15" x14ac:dyDescent="0.25">
      <c r="A2" s="21" t="s">
        <v>1312</v>
      </c>
    </row>
    <row r="3" spans="1:15" ht="45" x14ac:dyDescent="0.25">
      <c r="A3" s="4" t="s">
        <v>15</v>
      </c>
      <c r="B3" s="3" t="s">
        <v>16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21</v>
      </c>
      <c r="H3" s="3" t="s">
        <v>22</v>
      </c>
      <c r="I3" s="3" t="s">
        <v>23</v>
      </c>
      <c r="J3" s="3" t="s">
        <v>24</v>
      </c>
      <c r="K3" s="3" t="s">
        <v>25</v>
      </c>
      <c r="L3" s="3" t="s">
        <v>26</v>
      </c>
      <c r="M3" s="3" t="s">
        <v>27</v>
      </c>
      <c r="N3" s="3" t="s">
        <v>28</v>
      </c>
      <c r="O3" s="5" t="s">
        <v>29</v>
      </c>
    </row>
    <row r="4" spans="1:15" ht="30" x14ac:dyDescent="0.25">
      <c r="A4" s="6" t="str">
        <f>HYPERLINK("http://www.alamance-nc.com/envhealth/","Alamance County Environmental Health")</f>
        <v>Alamance County Environmental Health</v>
      </c>
      <c r="B4" s="7">
        <v>40308</v>
      </c>
      <c r="C4" s="8">
        <v>1</v>
      </c>
      <c r="D4" s="7">
        <v>40675</v>
      </c>
      <c r="E4" s="8" t="s">
        <v>1210</v>
      </c>
      <c r="F4" s="8"/>
      <c r="G4" s="8"/>
      <c r="H4" s="8"/>
      <c r="I4" s="8"/>
      <c r="J4" s="8"/>
      <c r="K4" s="8" t="s">
        <v>1211</v>
      </c>
      <c r="L4" s="8"/>
      <c r="M4" s="8" t="s">
        <v>1212</v>
      </c>
      <c r="N4" s="9" t="str">
        <f>HYPERLINK("mailto:carl.carroll@alamance-nc.com","Carl Carroll")</f>
        <v>Carl Carroll</v>
      </c>
      <c r="O4" s="10" t="str">
        <f>HYPERLINK("mailto:Donna.Wanucha@fda.hhs.gov","Donna Wanucha")</f>
        <v>Donna Wanucha</v>
      </c>
    </row>
    <row r="5" spans="1:15" ht="30" x14ac:dyDescent="0.25">
      <c r="A5" s="6" t="str">
        <f>HYPERLINK("http://www.alamance-nc.com/envhealth/","Alamance County Environmental Health")</f>
        <v>Alamance County Environmental Health</v>
      </c>
      <c r="B5" s="7">
        <v>40308</v>
      </c>
      <c r="C5" s="8">
        <v>2</v>
      </c>
      <c r="D5" s="7">
        <v>42536</v>
      </c>
      <c r="E5" s="8" t="s">
        <v>1213</v>
      </c>
      <c r="F5" s="8"/>
      <c r="G5" s="8" t="s">
        <v>1214</v>
      </c>
      <c r="H5" s="8"/>
      <c r="I5" s="8"/>
      <c r="J5" s="8"/>
      <c r="K5" s="8"/>
      <c r="L5" s="8"/>
      <c r="M5" s="8" t="s">
        <v>1215</v>
      </c>
      <c r="N5" s="9" t="str">
        <f>HYPERLINK("mailto:carl.carroll@alamance-nc.com","Carl Carroll")</f>
        <v>Carl Carroll</v>
      </c>
      <c r="O5" s="10" t="str">
        <f>HYPERLINK("mailto:Donna.Wanucha@fda.hhs.gov","Donna Wanucha")</f>
        <v>Donna Wanucha</v>
      </c>
    </row>
    <row r="6" spans="1:15" ht="30" x14ac:dyDescent="0.25">
      <c r="A6" s="11" t="str">
        <f>HYPERLINK("http://www.apphealth.com/","Appalachian District Health Department")</f>
        <v>Appalachian District Health Department</v>
      </c>
      <c r="B6" s="12">
        <v>41689</v>
      </c>
      <c r="C6" s="13">
        <v>1</v>
      </c>
      <c r="D6" s="12">
        <v>41771</v>
      </c>
      <c r="E6" s="13"/>
      <c r="F6" s="13"/>
      <c r="G6" s="13"/>
      <c r="H6" s="13"/>
      <c r="I6" s="13"/>
      <c r="J6" s="13"/>
      <c r="K6" s="13"/>
      <c r="L6" s="13"/>
      <c r="M6" s="13"/>
      <c r="N6" s="14" t="str">
        <f>HYPERLINK("mailto:m.roberson@apphealth.com","Michael Roberson")</f>
        <v>Michael Roberson</v>
      </c>
      <c r="O6" s="15" t="str">
        <f>HYPERLINK("mailto:Donna.Wanucha@fda.hhs.gov","Donna Wanucha")</f>
        <v>Donna Wanucha</v>
      </c>
    </row>
    <row r="7" spans="1:15" ht="30" x14ac:dyDescent="0.25">
      <c r="A7" s="6" t="str">
        <f>HYPERLINK("http://www.bladennc.gov/","Bladen County Health Department")</f>
        <v>Bladen County Health Department</v>
      </c>
      <c r="B7" s="7">
        <v>42095</v>
      </c>
      <c r="C7" s="8">
        <v>1</v>
      </c>
      <c r="D7" s="7">
        <v>42460</v>
      </c>
      <c r="E7" s="8" t="s">
        <v>1216</v>
      </c>
      <c r="F7" s="8"/>
      <c r="G7" s="8" t="s">
        <v>1216</v>
      </c>
      <c r="H7" s="8"/>
      <c r="I7" s="8"/>
      <c r="J7" s="8"/>
      <c r="K7" s="8"/>
      <c r="L7" s="8"/>
      <c r="M7" s="8"/>
      <c r="N7" s="9" t="str">
        <f>HYPERLINK("mailto:khair@bladenco.org","Korey Hair")</f>
        <v>Korey Hair</v>
      </c>
      <c r="O7" s="10" t="str">
        <f>HYPERLINK("mailto:Donna.Wanucha@fda.hhs.gov","Donna Wanucha")</f>
        <v>Donna Wanucha</v>
      </c>
    </row>
    <row r="8" spans="1:15" ht="30" x14ac:dyDescent="0.25">
      <c r="A8" s="29" t="s">
        <v>1217</v>
      </c>
      <c r="B8" s="12">
        <v>42650</v>
      </c>
      <c r="C8" s="13">
        <v>1</v>
      </c>
      <c r="D8" s="12">
        <v>42811</v>
      </c>
      <c r="E8" s="13" t="s">
        <v>1218</v>
      </c>
      <c r="F8" s="13"/>
      <c r="G8" s="13" t="s">
        <v>694</v>
      </c>
      <c r="H8" s="13"/>
      <c r="I8" s="13"/>
      <c r="J8" s="13"/>
      <c r="K8" s="13" t="s">
        <v>1219</v>
      </c>
      <c r="L8" s="13"/>
      <c r="M8" s="13"/>
      <c r="N8" s="14" t="str">
        <f>HYPERLINK("mailto:Jessica.Silver@buncombecounty.org","Jessica Silver")</f>
        <v>Jessica Silver</v>
      </c>
      <c r="O8" s="15" t="str">
        <f>HYPERLINK("mailto:Cameron.Wiggins@fda.hhs.gov","Cameron Wiggins")</f>
        <v>Cameron Wiggins</v>
      </c>
    </row>
    <row r="9" spans="1:15" ht="30" x14ac:dyDescent="0.25">
      <c r="A9" s="6" t="str">
        <f>HYPERLINK("http://www.cabarrushealth.org/","Cabarrus Health Alliance")</f>
        <v>Cabarrus Health Alliance</v>
      </c>
      <c r="B9" s="7">
        <v>38413</v>
      </c>
      <c r="C9" s="8">
        <v>1</v>
      </c>
      <c r="D9" s="7">
        <v>42262</v>
      </c>
      <c r="E9" s="8" t="s">
        <v>1220</v>
      </c>
      <c r="F9" s="8"/>
      <c r="G9" s="8"/>
      <c r="H9" s="8"/>
      <c r="I9" s="8"/>
      <c r="J9" s="8"/>
      <c r="K9" s="8"/>
      <c r="L9" s="8"/>
      <c r="M9" s="8"/>
      <c r="N9" s="9" t="str">
        <f>HYPERLINK("mailto:Mary.Barbee@CabarrusHealth.org","Mary Barbee")</f>
        <v>Mary Barbee</v>
      </c>
      <c r="O9" s="10" t="str">
        <f>HYPERLINK("mailto:Donna.Wanucha@fda.hhs.gov","Donna Wanucha")</f>
        <v>Donna Wanucha</v>
      </c>
    </row>
    <row r="10" spans="1:15" ht="30" x14ac:dyDescent="0.25">
      <c r="A10" s="11" t="str">
        <f>HYPERLINK("http://www.caldwellcountync.org/","Caldwell County Health Department")</f>
        <v>Caldwell County Health Department</v>
      </c>
      <c r="B10" s="12">
        <v>41922</v>
      </c>
      <c r="C10" s="13">
        <v>1</v>
      </c>
      <c r="D10" s="12">
        <v>42064</v>
      </c>
      <c r="E10" s="13" t="s">
        <v>1221</v>
      </c>
      <c r="F10" s="13"/>
      <c r="G10" s="13" t="s">
        <v>1222</v>
      </c>
      <c r="H10" s="13"/>
      <c r="I10" s="13"/>
      <c r="J10" s="13"/>
      <c r="K10" s="13"/>
      <c r="L10" s="13"/>
      <c r="M10" s="13"/>
      <c r="N10" s="14" t="str">
        <f>HYPERLINK("mailto:cgambill@caldwellcountync.org","Chad Gambill")</f>
        <v>Chad Gambill</v>
      </c>
      <c r="O10" s="15" t="str">
        <f>HYPERLINK("mailto:Donna.Wanucha@fda.hhs.gov","Donna Wanucha")</f>
        <v>Donna Wanucha</v>
      </c>
    </row>
    <row r="11" spans="1:15" ht="30" x14ac:dyDescent="0.25">
      <c r="A11" s="6" t="str">
        <f>HYPERLINK("http://www.carteretcountyhealth.com/","Carteret County Health Department")</f>
        <v>Carteret County Health Department</v>
      </c>
      <c r="B11" s="7">
        <v>41302</v>
      </c>
      <c r="C11" s="8">
        <v>1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9" t="str">
        <f>HYPERLINK("mailto:jessed@carteretcountygov.org","Jesse Dail")</f>
        <v>Jesse Dail</v>
      </c>
      <c r="O11" s="10" t="str">
        <f>HYPERLINK("mailto:Donna.Wanucha@fda.hhs.gov","Donna Wanucha")</f>
        <v>Donna Wanucha</v>
      </c>
    </row>
    <row r="12" spans="1:15" ht="30" x14ac:dyDescent="0.25">
      <c r="A12" s="29" t="s">
        <v>1223</v>
      </c>
      <c r="B12" s="12">
        <v>43131</v>
      </c>
      <c r="C12" s="13">
        <v>1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4" t="str">
        <f>HYPERLINK("mailto:dpowell@caswellnc.us","Donnie Powell")</f>
        <v>Donnie Powell</v>
      </c>
      <c r="O12" s="15" t="str">
        <f>HYPERLINK("mailto:Donna.Wanucha@fda.hhs.gov","Donna Wanucha")</f>
        <v>Donna Wanucha</v>
      </c>
    </row>
    <row r="13" spans="1:15" ht="30" x14ac:dyDescent="0.25">
      <c r="A13" s="6" t="str">
        <f>HYPERLINK("http://www.catawbacountync.gov/phealth/","Catawba County Health Department")</f>
        <v>Catawba County Health Department</v>
      </c>
      <c r="B13" s="7">
        <v>38308</v>
      </c>
      <c r="C13" s="8">
        <v>1</v>
      </c>
      <c r="D13" s="7">
        <v>40722</v>
      </c>
      <c r="E13" s="8"/>
      <c r="F13" s="8"/>
      <c r="G13" s="8"/>
      <c r="H13" s="8"/>
      <c r="I13" s="8" t="s">
        <v>458</v>
      </c>
      <c r="J13" s="8"/>
      <c r="K13" s="8" t="s">
        <v>458</v>
      </c>
      <c r="L13" s="8"/>
      <c r="M13" s="8"/>
      <c r="N13" s="8" t="s">
        <v>1224</v>
      </c>
      <c r="O13" s="10" t="str">
        <f>HYPERLINK("mailto:Donna.Wanucha@fda.hhs.gov","Donna Wanucha")</f>
        <v>Donna Wanucha</v>
      </c>
    </row>
    <row r="14" spans="1:15" ht="30" x14ac:dyDescent="0.25">
      <c r="A14" s="6" t="str">
        <f>HYPERLINK("http://www.catawbacountync.gov/phealth/","Catawba County Health Department")</f>
        <v>Catawba County Health Department</v>
      </c>
      <c r="B14" s="7">
        <v>38308</v>
      </c>
      <c r="C14" s="8">
        <v>2</v>
      </c>
      <c r="D14" s="7">
        <v>42641</v>
      </c>
      <c r="E14" s="8" t="s">
        <v>1225</v>
      </c>
      <c r="F14" s="8"/>
      <c r="G14" s="8" t="s">
        <v>1226</v>
      </c>
      <c r="H14" s="8" t="s">
        <v>1225</v>
      </c>
      <c r="I14" s="8"/>
      <c r="J14" s="8"/>
      <c r="K14" s="8"/>
      <c r="L14" s="8"/>
      <c r="M14" s="8" t="s">
        <v>1227</v>
      </c>
      <c r="N14" s="8" t="s">
        <v>1224</v>
      </c>
      <c r="O14" s="10" t="str">
        <f>HYPERLINK("mailto:Donna.Wanucha@fda.hhs.gov","Donna Wanucha")</f>
        <v>Donna Wanucha</v>
      </c>
    </row>
    <row r="15" spans="1:15" ht="30" x14ac:dyDescent="0.25">
      <c r="A15" s="29" t="s">
        <v>1228</v>
      </c>
      <c r="B15" s="12">
        <v>40816</v>
      </c>
      <c r="C15" s="13">
        <v>1</v>
      </c>
      <c r="D15" s="12">
        <v>41092</v>
      </c>
      <c r="E15" s="13" t="s">
        <v>1229</v>
      </c>
      <c r="F15" s="13"/>
      <c r="G15" s="13"/>
      <c r="H15" s="13"/>
      <c r="I15" s="13"/>
      <c r="J15" s="13"/>
      <c r="K15" s="13"/>
      <c r="L15" s="13"/>
      <c r="M15" s="13" t="s">
        <v>924</v>
      </c>
      <c r="N15" s="13" t="s">
        <v>1230</v>
      </c>
      <c r="O15" s="15" t="str">
        <f>HYPERLINK("mailto:Donna.Wanucha@fda.hhs.gov","Donna Wanucha")</f>
        <v>Donna Wanucha</v>
      </c>
    </row>
    <row r="16" spans="1:15" ht="30" x14ac:dyDescent="0.25">
      <c r="A16" s="29" t="s">
        <v>1228</v>
      </c>
      <c r="B16" s="12">
        <v>40816</v>
      </c>
      <c r="C16" s="13">
        <v>2</v>
      </c>
      <c r="D16" s="12">
        <v>43018</v>
      </c>
      <c r="E16" s="13"/>
      <c r="F16" s="13"/>
      <c r="G16" s="13"/>
      <c r="H16" s="13"/>
      <c r="I16" s="13"/>
      <c r="J16" s="13"/>
      <c r="K16" s="13"/>
      <c r="L16" s="13"/>
      <c r="M16" s="13" t="s">
        <v>1231</v>
      </c>
      <c r="N16" s="13" t="s">
        <v>1230</v>
      </c>
      <c r="O16" s="15" t="str">
        <f>HYPERLINK("mailto:Donna.Wanucha@fda.hhs.gov","Donna Wanucha")</f>
        <v>Donna Wanucha</v>
      </c>
    </row>
    <row r="17" spans="1:15" ht="30" x14ac:dyDescent="0.25">
      <c r="A17" s="6" t="str">
        <f>HYPERLINK("http://www.cravencounty.com/departments/hth/hthmain.cfm","Craven County Health Department")</f>
        <v>Craven County Health Department</v>
      </c>
      <c r="B17" s="7">
        <v>39519</v>
      </c>
      <c r="C17" s="8">
        <v>1</v>
      </c>
      <c r="D17" s="7">
        <v>40332</v>
      </c>
      <c r="E17" s="8" t="s">
        <v>1232</v>
      </c>
      <c r="F17" s="8"/>
      <c r="G17" s="8"/>
      <c r="H17" s="8"/>
      <c r="I17" s="8" t="s">
        <v>1233</v>
      </c>
      <c r="J17" s="8"/>
      <c r="K17" s="8" t="s">
        <v>1234</v>
      </c>
      <c r="L17" s="8"/>
      <c r="M17" s="8" t="s">
        <v>1235</v>
      </c>
      <c r="N17" s="8" t="s">
        <v>1236</v>
      </c>
      <c r="O17" s="10" t="str">
        <f>HYPERLINK("mailto:Donna.Wanucha@fda.hhs.gov","Donna Wanucha")</f>
        <v>Donna Wanucha</v>
      </c>
    </row>
    <row r="18" spans="1:15" ht="30" x14ac:dyDescent="0.25">
      <c r="A18" s="29" t="s">
        <v>1237</v>
      </c>
      <c r="B18" s="12">
        <v>41890</v>
      </c>
      <c r="C18" s="13">
        <v>1</v>
      </c>
      <c r="D18" s="12">
        <v>42193</v>
      </c>
      <c r="E18" s="13" t="s">
        <v>1238</v>
      </c>
      <c r="F18" s="13"/>
      <c r="G18" s="13"/>
      <c r="H18" s="13"/>
      <c r="I18" s="13"/>
      <c r="J18" s="13"/>
      <c r="K18" s="13" t="s">
        <v>1239</v>
      </c>
      <c r="L18" s="13"/>
      <c r="M18" s="13"/>
      <c r="N18" s="14" t="str">
        <f>HYPERLINK("mailto:dortiz@co.cumberland.nc.us","Daniel Ortiz")</f>
        <v>Daniel Ortiz</v>
      </c>
      <c r="O18" s="15" t="str">
        <f>HYPERLINK("mailto:Donna.Wanucha@fda.hhs.gov","Donna Wanucha")</f>
        <v>Donna Wanucha</v>
      </c>
    </row>
    <row r="19" spans="1:15" ht="30" x14ac:dyDescent="0.25">
      <c r="A19" s="6" t="str">
        <f>HYPERLINK("http://www.dchdnc.com/","Davidson County Health Department")</f>
        <v>Davidson County Health Department</v>
      </c>
      <c r="B19" s="7">
        <v>41919</v>
      </c>
      <c r="C19" s="8">
        <v>1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9" t="str">
        <f>HYPERLINK("mailto:Greg.Hennessee@DavidsonCountyNC.gov","Greg Hennessee")</f>
        <v>Greg Hennessee</v>
      </c>
      <c r="O19" s="10" t="str">
        <f>HYPERLINK("mailto:Donna.Wanucha@fda.hhs.gov","Donna Wanucha")</f>
        <v>Donna Wanucha</v>
      </c>
    </row>
    <row r="20" spans="1:15" ht="30" x14ac:dyDescent="0.25">
      <c r="A20" s="11" t="str">
        <f>HYPERLINK("http://co.davie.nc.us/departments/health/environment_health.htm","Davie County Health Department")</f>
        <v>Davie County Health Department</v>
      </c>
      <c r="B20" s="12">
        <v>40307</v>
      </c>
      <c r="C20" s="13">
        <v>1</v>
      </c>
      <c r="D20" s="12">
        <v>41780</v>
      </c>
      <c r="E20" s="13" t="s">
        <v>1240</v>
      </c>
      <c r="F20" s="13"/>
      <c r="G20" s="13"/>
      <c r="H20" s="13"/>
      <c r="I20" s="13"/>
      <c r="J20" s="13"/>
      <c r="K20" s="13"/>
      <c r="L20" s="13"/>
      <c r="M20" s="13" t="s">
        <v>1241</v>
      </c>
      <c r="N20" s="14" t="str">
        <f>HYPERLINK("mailto:Brittany.Mitchell@co.davie.nc.us","Brittany Mitchell")</f>
        <v>Brittany Mitchell</v>
      </c>
      <c r="O20" s="15" t="str">
        <f>HYPERLINK("mailto:Donna.Wanucha@fda.hhs.gov","Donna Wanucha")</f>
        <v>Donna Wanucha</v>
      </c>
    </row>
    <row r="21" spans="1:15" ht="30" x14ac:dyDescent="0.25">
      <c r="A21" s="28" t="s">
        <v>1242</v>
      </c>
      <c r="B21" s="7">
        <v>43013</v>
      </c>
      <c r="C21" s="8">
        <v>1</v>
      </c>
      <c r="D21" s="7">
        <v>43432</v>
      </c>
      <c r="E21" s="8"/>
      <c r="F21" s="8"/>
      <c r="G21" s="8" t="s">
        <v>1243</v>
      </c>
      <c r="H21" s="8"/>
      <c r="I21" s="8" t="s">
        <v>1243</v>
      </c>
      <c r="J21" s="8"/>
      <c r="K21" s="8"/>
      <c r="L21" s="8"/>
      <c r="M21" s="8"/>
      <c r="N21" s="9" t="str">
        <f>HYPERLINK("mailto:jsalter@dconc.gov","J. Christopher Salter")</f>
        <v>J. Christopher Salter</v>
      </c>
      <c r="O21" s="10" t="str">
        <f>HYPERLINK("mailto:Donna.Wanucha@fda.hhs.gov","Donna Wanucha")</f>
        <v>Donna Wanucha</v>
      </c>
    </row>
    <row r="22" spans="1:15" ht="30" x14ac:dyDescent="0.25">
      <c r="A22" s="11" t="str">
        <f>HYPERLINK("http://www.forsyth.cc/PublicHealth/EnvironmentalHealth/","Forsyth County Health Department")</f>
        <v>Forsyth County Health Department</v>
      </c>
      <c r="B22" s="12">
        <v>39630</v>
      </c>
      <c r="C22" s="13">
        <v>1</v>
      </c>
      <c r="D22" s="12">
        <v>40718</v>
      </c>
      <c r="E22" s="13"/>
      <c r="F22" s="13"/>
      <c r="G22" s="13"/>
      <c r="H22" s="13"/>
      <c r="I22" s="13"/>
      <c r="J22" s="13"/>
      <c r="K22" s="13"/>
      <c r="L22" s="13"/>
      <c r="M22" s="13"/>
      <c r="N22" s="13" t="s">
        <v>1244</v>
      </c>
      <c r="O22" s="15" t="str">
        <f>HYPERLINK("mailto:Donna.Wanucha@fda.hhs.gov","Donna Wanucha")</f>
        <v>Donna Wanucha</v>
      </c>
    </row>
    <row r="23" spans="1:15" ht="30" x14ac:dyDescent="0.25">
      <c r="A23" s="28" t="s">
        <v>1245</v>
      </c>
      <c r="B23" s="7">
        <v>42566</v>
      </c>
      <c r="C23" s="8">
        <v>1</v>
      </c>
      <c r="D23" s="7">
        <v>42943</v>
      </c>
      <c r="E23" s="8"/>
      <c r="F23" s="8"/>
      <c r="G23" s="8"/>
      <c r="H23" s="8"/>
      <c r="I23" s="8"/>
      <c r="J23" s="8"/>
      <c r="K23" s="8"/>
      <c r="L23" s="8"/>
      <c r="M23" s="8"/>
      <c r="N23" s="9" t="str">
        <f>HYPERLINK("mailto:Christina.Rodite@gastongov.com","Chritina Rodiete")</f>
        <v>Chritina Rodiete</v>
      </c>
      <c r="O23" s="10" t="str">
        <f>HYPERLINK("mailto:Donna.Wanucha@fda.hhs.gov","Donna Wanucha")</f>
        <v>Donna Wanucha</v>
      </c>
    </row>
    <row r="24" spans="1:15" ht="30" x14ac:dyDescent="0.25">
      <c r="A24" s="11" t="str">
        <f>HYPERLINK("http://www.co.greene.nc.us/","Greene County Health Department")</f>
        <v>Greene County Health Department</v>
      </c>
      <c r="B24" s="12">
        <v>42695</v>
      </c>
      <c r="C24" s="13">
        <v>1</v>
      </c>
      <c r="D24" s="12">
        <v>43039</v>
      </c>
      <c r="E24" s="13"/>
      <c r="F24" s="13"/>
      <c r="G24" s="13"/>
      <c r="H24" s="13"/>
      <c r="I24" s="13"/>
      <c r="J24" s="13"/>
      <c r="K24" s="13"/>
      <c r="L24" s="13"/>
      <c r="M24" s="13"/>
      <c r="N24" s="14" t="str">
        <f>HYPERLINK("mailto:vwheath@co.greene.nc.us","Worth Heath")</f>
        <v>Worth Heath</v>
      </c>
      <c r="O24" s="15" t="str">
        <f>HYPERLINK("mailto:Donna.Wanucha@fda.hhs.gov","Donna Wanucha")</f>
        <v>Donna Wanucha</v>
      </c>
    </row>
    <row r="25" spans="1:15" ht="30" x14ac:dyDescent="0.25">
      <c r="A25" s="6" t="str">
        <f>HYPERLINK("http://www.co.guilford.nc.us/gheh_cms/","Guilford County Dept. of Health and Human Services")</f>
        <v>Guilford County Dept. of Health and Human Services</v>
      </c>
      <c r="B25" s="7">
        <v>41912</v>
      </c>
      <c r="C25" s="8">
        <v>1</v>
      </c>
      <c r="D25" s="7">
        <v>42543</v>
      </c>
      <c r="E25" s="8" t="s">
        <v>1246</v>
      </c>
      <c r="F25" s="8"/>
      <c r="G25" s="8"/>
      <c r="H25" s="8"/>
      <c r="I25" s="8"/>
      <c r="J25" s="8"/>
      <c r="K25" s="8"/>
      <c r="L25" s="8"/>
      <c r="M25" s="8"/>
      <c r="N25" s="9" t="str">
        <f>HYPERLINK("mailto:pcox@co.guilford.nc.us","Paula Cox")</f>
        <v>Paula Cox</v>
      </c>
      <c r="O25" s="10" t="str">
        <f>HYPERLINK("mailto:Donna.Wanucha@fda.hhs.gov","Donna Wanucha")</f>
        <v>Donna Wanucha</v>
      </c>
    </row>
    <row r="26" spans="1:15" ht="30" x14ac:dyDescent="0.25">
      <c r="A26" s="11" t="str">
        <f>HYPERLINK("www.haywoodnc.net","Haywood County Health Department")</f>
        <v>Haywood County Health Department</v>
      </c>
      <c r="B26" s="12">
        <v>43357</v>
      </c>
      <c r="C26" s="13">
        <v>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4" t="str">
        <f>HYPERLINK("mailto:aubrie.welch@haywoodcountync.gov","Aubrie Welch")</f>
        <v>Aubrie Welch</v>
      </c>
      <c r="O26" s="15" t="str">
        <f>HYPERLINK("mailto:Cameron.Wiggins@fda.hhs.gov","Cameron Wiggins")</f>
        <v>Cameron Wiggins</v>
      </c>
    </row>
    <row r="27" spans="1:15" ht="30" x14ac:dyDescent="0.25">
      <c r="A27" s="6" t="str">
        <f>HYPERLINK("http://www.hokecounty.net/","Hoke County Health Department")</f>
        <v>Hoke County Health Department</v>
      </c>
      <c r="B27" s="7">
        <v>42222</v>
      </c>
      <c r="C27" s="8">
        <v>1</v>
      </c>
      <c r="D27" s="7">
        <v>42572</v>
      </c>
      <c r="E27" s="8" t="s">
        <v>1247</v>
      </c>
      <c r="F27" s="8"/>
      <c r="G27" s="8" t="s">
        <v>1248</v>
      </c>
      <c r="H27" s="8"/>
      <c r="I27" s="8"/>
      <c r="J27" s="8"/>
      <c r="K27" s="8"/>
      <c r="L27" s="8"/>
      <c r="M27" s="8"/>
      <c r="N27" s="9" t="str">
        <f>HYPERLINK("mailto:ejohnson@hokecounty.org","Erik Johnson")</f>
        <v>Erik Johnson</v>
      </c>
      <c r="O27" s="10" t="str">
        <f>HYPERLINK("mailto:Donna.Wanucha@fda.hhs.gov","Donna Wanucha")</f>
        <v>Donna Wanucha</v>
      </c>
    </row>
    <row r="28" spans="1:15" ht="30" x14ac:dyDescent="0.25">
      <c r="A28" s="11" t="str">
        <f>HYPERLINK("http://www.jacksonnc.org/","Jackson County Health Department")</f>
        <v>Jackson County Health Department</v>
      </c>
      <c r="B28" s="12">
        <v>41488</v>
      </c>
      <c r="C28" s="13">
        <v>1</v>
      </c>
      <c r="D28" s="12">
        <v>41821</v>
      </c>
      <c r="E28" s="13" t="s">
        <v>1249</v>
      </c>
      <c r="F28" s="13"/>
      <c r="G28" s="13"/>
      <c r="H28" s="13"/>
      <c r="I28" s="13"/>
      <c r="J28" s="13"/>
      <c r="K28" s="13"/>
      <c r="L28" s="13"/>
      <c r="M28" s="13"/>
      <c r="N28" s="14" t="str">
        <f>HYPERLINK("mailto:jaimedellinger@jacksonnc.org","Jaime Dellinger")</f>
        <v>Jaime Dellinger</v>
      </c>
      <c r="O28" s="15" t="str">
        <f>HYPERLINK("mailto:Cameron.Wiggins@fda.hhs.gov","Cameron Wiggins")</f>
        <v>Cameron Wiggins</v>
      </c>
    </row>
    <row r="29" spans="1:15" ht="30" x14ac:dyDescent="0.25">
      <c r="A29" s="6" t="str">
        <f>HYPERLINK("www.johnstonncenvironmentalhealth.org","Johnston County Health Department")</f>
        <v>Johnston County Health Department</v>
      </c>
      <c r="B29" s="7">
        <v>43390</v>
      </c>
      <c r="C29" s="8">
        <v>1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9" t="str">
        <f>HYPERLINK("mailto:john.phillips@johnstonnc.com","John Phillips")</f>
        <v>John Phillips</v>
      </c>
      <c r="O29" s="10" t="str">
        <f>HYPERLINK("mailto:Donna.Wanucha@fda.hhs.gov","Donna Wanucha")</f>
        <v>Donna Wanucha</v>
      </c>
    </row>
    <row r="30" spans="1:15" ht="30" x14ac:dyDescent="0.25">
      <c r="A30" s="11" t="str">
        <f>HYPERLINK("http://www.leecountync.gov/Departments/PublicHealth/EnvironmentalHealth.aspx","Lee County Health Department")</f>
        <v>Lee County Health Department</v>
      </c>
      <c r="B30" s="12">
        <v>41893</v>
      </c>
      <c r="C30" s="13">
        <v>1</v>
      </c>
      <c r="D30" s="12">
        <v>42199</v>
      </c>
      <c r="E30" s="13" t="s">
        <v>1250</v>
      </c>
      <c r="F30" s="13"/>
      <c r="G30" s="13"/>
      <c r="H30" s="13"/>
      <c r="I30" s="13"/>
      <c r="J30" s="13"/>
      <c r="K30" s="13"/>
      <c r="L30" s="13"/>
      <c r="M30" s="13"/>
      <c r="N30" s="14" t="str">
        <f>HYPERLINK("mailto:hcain@leecountync.gov","William Heath Cain")</f>
        <v>William Heath Cain</v>
      </c>
      <c r="O30" s="15" t="str">
        <f>HYPERLINK("mailto:Donna.Wanucha@fda.hhs.gov","Donna Wanucha")</f>
        <v>Donna Wanucha</v>
      </c>
    </row>
    <row r="31" spans="1:15" ht="30" x14ac:dyDescent="0.25">
      <c r="A31" s="6" t="str">
        <f>HYPERLINK("http://www.co.lenoir.nc.us/health.html","Lenoir County Environmental Health")</f>
        <v>Lenoir County Environmental Health</v>
      </c>
      <c r="B31" s="7">
        <v>40876</v>
      </c>
      <c r="C31" s="8">
        <v>1</v>
      </c>
      <c r="D31" s="7">
        <v>41204</v>
      </c>
      <c r="E31" s="8"/>
      <c r="F31" s="8"/>
      <c r="G31" s="8"/>
      <c r="H31" s="8"/>
      <c r="I31" s="8"/>
      <c r="J31" s="8"/>
      <c r="K31" s="8"/>
      <c r="L31" s="8"/>
      <c r="M31" s="8"/>
      <c r="N31" s="8" t="s">
        <v>1251</v>
      </c>
      <c r="O31" s="10" t="str">
        <f>HYPERLINK("mailto:Donna.Wanucha@fda.hhs.gov","Donna Wanucha")</f>
        <v>Donna Wanucha</v>
      </c>
    </row>
    <row r="32" spans="1:15" ht="30" x14ac:dyDescent="0.25">
      <c r="A32" s="11" t="str">
        <f>HYPERLINK("http://www.madisoncountyhealth.org/environmental-health.html","Madison County Health Department")</f>
        <v>Madison County Health Department</v>
      </c>
      <c r="B32" s="12">
        <v>42257</v>
      </c>
      <c r="C32" s="13">
        <v>1</v>
      </c>
      <c r="D32" s="12">
        <v>42521</v>
      </c>
      <c r="E32" s="13" t="s">
        <v>1252</v>
      </c>
      <c r="F32" s="13"/>
      <c r="G32" s="13"/>
      <c r="H32" s="13"/>
      <c r="I32" s="13"/>
      <c r="J32" s="13"/>
      <c r="K32" s="13"/>
      <c r="L32" s="13"/>
      <c r="M32" s="13"/>
      <c r="N32" s="14" t="str">
        <f>HYPERLINK("mailto:tcorona@co.madison.il.us","Toni Corona")</f>
        <v>Toni Corona</v>
      </c>
      <c r="O32" s="15" t="str">
        <f>HYPERLINK("mailto:Cameron.Wiggins@fda.hhs.gov","Cameron Wiggins")</f>
        <v>Cameron Wiggins</v>
      </c>
    </row>
    <row r="33" spans="1:15" ht="30" x14ac:dyDescent="0.25">
      <c r="A33" s="28" t="s">
        <v>1253</v>
      </c>
      <c r="B33" s="7">
        <v>40233</v>
      </c>
      <c r="C33" s="8">
        <v>1</v>
      </c>
      <c r="D33" s="7">
        <v>40603</v>
      </c>
      <c r="E33" s="8" t="s">
        <v>1254</v>
      </c>
      <c r="F33" s="8"/>
      <c r="G33" s="8"/>
      <c r="H33" s="8"/>
      <c r="I33" s="8"/>
      <c r="J33" s="8"/>
      <c r="K33" s="8" t="s">
        <v>1255</v>
      </c>
      <c r="L33" s="8"/>
      <c r="M33" s="8" t="s">
        <v>1256</v>
      </c>
      <c r="N33" s="9" t="str">
        <f>HYPERLINK("mailto:Susan.Cole@mecklenburgcountync.gov","Susan Cole")</f>
        <v>Susan Cole</v>
      </c>
      <c r="O33" s="10" t="str">
        <f>HYPERLINK("mailto:Donna.Wanucha@fda.hhs.gov","Donna Wanucha")</f>
        <v>Donna Wanucha</v>
      </c>
    </row>
    <row r="34" spans="1:15" ht="30" x14ac:dyDescent="0.25">
      <c r="A34" s="28" t="s">
        <v>1253</v>
      </c>
      <c r="B34" s="7">
        <v>40233</v>
      </c>
      <c r="C34" s="8">
        <v>2</v>
      </c>
      <c r="D34" s="7">
        <v>42948</v>
      </c>
      <c r="E34" s="8"/>
      <c r="F34" s="8"/>
      <c r="G34" s="8" t="s">
        <v>1257</v>
      </c>
      <c r="H34" s="8" t="s">
        <v>1257</v>
      </c>
      <c r="I34" s="8"/>
      <c r="J34" s="8"/>
      <c r="K34" s="8" t="s">
        <v>1257</v>
      </c>
      <c r="L34" s="8"/>
      <c r="M34" s="8"/>
      <c r="N34" s="9" t="str">
        <f>HYPERLINK("mailto:Susan.Cole@mecklenburgcountync.gov","Susan Cole")</f>
        <v>Susan Cole</v>
      </c>
      <c r="O34" s="10" t="str">
        <f>HYPERLINK("mailto:Donna.Wanucha@fda.hhs.gov","Donna Wanucha")</f>
        <v>Donna Wanucha</v>
      </c>
    </row>
    <row r="35" spans="1:15" ht="30" x14ac:dyDescent="0.25">
      <c r="A35" s="11" t="str">
        <f>HYPERLINK("http://www.nhcgov.com/health/enviro-health/Pages/restaurants-school-inspection.aspx","New Hanover County")</f>
        <v>New Hanover County</v>
      </c>
      <c r="B35" s="12">
        <v>41211</v>
      </c>
      <c r="C35" s="13">
        <v>1</v>
      </c>
      <c r="D35" s="12">
        <v>41382</v>
      </c>
      <c r="E35" s="13" t="s">
        <v>1258</v>
      </c>
      <c r="F35" s="13"/>
      <c r="G35" s="13"/>
      <c r="H35" s="13" t="s">
        <v>1259</v>
      </c>
      <c r="I35" s="13"/>
      <c r="J35" s="13"/>
      <c r="K35" s="13" t="s">
        <v>1260</v>
      </c>
      <c r="L35" s="13"/>
      <c r="M35" s="13" t="s">
        <v>1261</v>
      </c>
      <c r="N35" s="14" t="str">
        <f>HYPERLINK("mailto:apickett@nhcgov.com","Alicia Pickett")</f>
        <v>Alicia Pickett</v>
      </c>
      <c r="O35" s="15" t="str">
        <f>HYPERLINK("mailto:Donna.Wanucha@fda.hhs.gov","Donna Wanucha")</f>
        <v>Donna Wanucha</v>
      </c>
    </row>
    <row r="36" spans="1:15" ht="30" x14ac:dyDescent="0.25">
      <c r="A36" s="11" t="str">
        <f>HYPERLINK("http://www.nhcgov.com/health/enviro-health/Pages/restaurants-school-inspection.aspx","New Hanover County")</f>
        <v>New Hanover County</v>
      </c>
      <c r="B36" s="12">
        <v>41211</v>
      </c>
      <c r="C36" s="13">
        <v>2</v>
      </c>
      <c r="D36" s="12">
        <v>43110</v>
      </c>
      <c r="E36" s="13"/>
      <c r="F36" s="13"/>
      <c r="G36" s="13"/>
      <c r="H36" s="13"/>
      <c r="I36" s="13"/>
      <c r="J36" s="13"/>
      <c r="K36" s="13"/>
      <c r="L36" s="13"/>
      <c r="M36" s="13"/>
      <c r="N36" s="14" t="str">
        <f>HYPERLINK("mailto:apickett@nhcgov.com","Alicia Pickett")</f>
        <v>Alicia Pickett</v>
      </c>
      <c r="O36" s="15" t="str">
        <f>HYPERLINK("mailto:Donna.Wanucha@fda.hhs.gov","Donna Wanucha")</f>
        <v>Donna Wanucha</v>
      </c>
    </row>
    <row r="37" spans="1:15" ht="30" x14ac:dyDescent="0.25">
      <c r="A37" s="28" t="s">
        <v>1262</v>
      </c>
      <c r="B37" s="7">
        <v>38353</v>
      </c>
      <c r="C37" s="8">
        <v>1</v>
      </c>
      <c r="D37" s="7">
        <v>38708</v>
      </c>
      <c r="E37" s="8"/>
      <c r="F37" s="8"/>
      <c r="G37" s="8"/>
      <c r="H37" s="8"/>
      <c r="I37" s="8"/>
      <c r="J37" s="8"/>
      <c r="K37" s="8" t="s">
        <v>1263</v>
      </c>
      <c r="L37" s="8"/>
      <c r="M37" s="8"/>
      <c r="N37" s="8" t="s">
        <v>1264</v>
      </c>
      <c r="O37" s="10" t="str">
        <f>HYPERLINK("mailto:Donna.Wanucha@fda.hhs.gov","Donna Wanucha")</f>
        <v>Donna Wanucha</v>
      </c>
    </row>
    <row r="38" spans="1:15" ht="30" x14ac:dyDescent="0.25">
      <c r="A38" s="28" t="s">
        <v>1262</v>
      </c>
      <c r="B38" s="7">
        <v>38353</v>
      </c>
      <c r="C38" s="8">
        <v>2</v>
      </c>
      <c r="D38" s="7">
        <v>40657</v>
      </c>
      <c r="E38" s="8" t="s">
        <v>1265</v>
      </c>
      <c r="F38" s="8" t="s">
        <v>1266</v>
      </c>
      <c r="G38" s="8"/>
      <c r="H38" s="8"/>
      <c r="I38" s="8"/>
      <c r="J38" s="8"/>
      <c r="K38" s="8"/>
      <c r="L38" s="8"/>
      <c r="M38" s="8"/>
      <c r="N38" s="8" t="s">
        <v>1264</v>
      </c>
      <c r="O38" s="10" t="str">
        <f>HYPERLINK("mailto:Donna.Wanucha@fda.hhs.gov","Donna Wanucha")</f>
        <v>Donna Wanucha</v>
      </c>
    </row>
    <row r="39" spans="1:15" ht="30" x14ac:dyDescent="0.25">
      <c r="A39" s="28" t="s">
        <v>1262</v>
      </c>
      <c r="B39" s="7">
        <v>38353</v>
      </c>
      <c r="C39" s="8">
        <v>3</v>
      </c>
      <c r="D39" s="7">
        <v>42635</v>
      </c>
      <c r="E39" s="8" t="s">
        <v>1267</v>
      </c>
      <c r="F39" s="8" t="s">
        <v>1267</v>
      </c>
      <c r="G39" s="8"/>
      <c r="H39" s="8"/>
      <c r="I39" s="8"/>
      <c r="J39" s="8"/>
      <c r="K39" s="8" t="s">
        <v>1267</v>
      </c>
      <c r="L39" s="8"/>
      <c r="M39" s="8"/>
      <c r="N39" s="8" t="s">
        <v>1264</v>
      </c>
      <c r="O39" s="10" t="str">
        <f>HYPERLINK("mailto:Donna.Wanucha@fda.hhs.gov","Donna Wanucha")</f>
        <v>Donna Wanucha</v>
      </c>
    </row>
    <row r="40" spans="1:15" ht="30" x14ac:dyDescent="0.25">
      <c r="A40" s="11" t="str">
        <f>HYPERLINK("http://www.onslowcountync.gov/","Onslow County Environmental Health")</f>
        <v>Onslow County Environmental Health</v>
      </c>
      <c r="B40" s="12">
        <v>42696</v>
      </c>
      <c r="C40" s="13">
        <v>1</v>
      </c>
      <c r="D40" s="12">
        <v>43046</v>
      </c>
      <c r="E40" s="13"/>
      <c r="F40" s="13"/>
      <c r="G40" s="13"/>
      <c r="H40" s="13"/>
      <c r="I40" s="13"/>
      <c r="J40" s="13"/>
      <c r="K40" s="13"/>
      <c r="L40" s="13"/>
      <c r="M40" s="13"/>
      <c r="N40" s="14" t="str">
        <f>HYPERLINK("mailto:August_Nelson@onslowcountync.gov","August Nelson")</f>
        <v>August Nelson</v>
      </c>
      <c r="O40" s="15" t="str">
        <f>HYPERLINK("mailto:Donna.Wanucha@fda.hhs.gov","Donna Wanucha")</f>
        <v>Donna Wanucha</v>
      </c>
    </row>
    <row r="41" spans="1:15" ht="30" x14ac:dyDescent="0.25">
      <c r="A41" s="28" t="s">
        <v>1268</v>
      </c>
      <c r="B41" s="7">
        <v>42972</v>
      </c>
      <c r="C41" s="8">
        <v>1</v>
      </c>
      <c r="D41" s="7">
        <v>43339</v>
      </c>
      <c r="E41" s="8"/>
      <c r="F41" s="8"/>
      <c r="G41" s="8" t="s">
        <v>1269</v>
      </c>
      <c r="H41" s="8"/>
      <c r="I41" s="8"/>
      <c r="J41" s="8"/>
      <c r="K41" s="8" t="s">
        <v>1270</v>
      </c>
      <c r="L41" s="8" t="s">
        <v>1270</v>
      </c>
      <c r="M41" s="8"/>
      <c r="N41" s="9" t="str">
        <f>HYPERLINK("mailto:vhudson@orangecountync.gov","Victoria Hudson")</f>
        <v>Victoria Hudson</v>
      </c>
      <c r="O41" s="10" t="str">
        <f>HYPERLINK("mailto:Donna.Wanucha@fda.hhs.gov","Donna Wanucha")</f>
        <v>Donna Wanucha</v>
      </c>
    </row>
    <row r="42" spans="1:15" ht="30" x14ac:dyDescent="0.25">
      <c r="A42" s="11" t="str">
        <f>HYPERLINK("http://www.pamlicocounty.org/","Pamlico County Environmental Health")</f>
        <v>Pamlico County Environmental Health</v>
      </c>
      <c r="B42" s="12">
        <v>40932</v>
      </c>
      <c r="C42" s="13">
        <v>1</v>
      </c>
      <c r="D42" s="12">
        <v>41092</v>
      </c>
      <c r="E42" s="13" t="s">
        <v>924</v>
      </c>
      <c r="F42" s="13"/>
      <c r="G42" s="13" t="s">
        <v>924</v>
      </c>
      <c r="H42" s="13"/>
      <c r="I42" s="13"/>
      <c r="J42" s="13"/>
      <c r="K42" s="13"/>
      <c r="L42" s="13"/>
      <c r="M42" s="13"/>
      <c r="N42" s="13" t="s">
        <v>1271</v>
      </c>
      <c r="O42" s="15" t="str">
        <f>HYPERLINK("mailto:Donna.Wanucha@fda.hhs.gov","Donna Wanucha")</f>
        <v>Donna Wanucha</v>
      </c>
    </row>
    <row r="43" spans="1:15" ht="30" x14ac:dyDescent="0.25">
      <c r="A43" s="11" t="str">
        <f>HYPERLINK("http://www.pamlicocounty.org/","Pamlico County Environmental Health")</f>
        <v>Pamlico County Environmental Health</v>
      </c>
      <c r="B43" s="12">
        <v>40932</v>
      </c>
      <c r="C43" s="13">
        <v>2</v>
      </c>
      <c r="D43" s="12">
        <v>42900</v>
      </c>
      <c r="E43" s="13"/>
      <c r="F43" s="13"/>
      <c r="G43" s="13"/>
      <c r="H43" s="13"/>
      <c r="I43" s="13"/>
      <c r="J43" s="13"/>
      <c r="K43" s="13"/>
      <c r="L43" s="13"/>
      <c r="M43" s="13"/>
      <c r="N43" s="13" t="s">
        <v>1271</v>
      </c>
      <c r="O43" s="15" t="str">
        <f>HYPERLINK("mailto:Donna.Wanucha@fda.hhs.gov","Donna Wanucha")</f>
        <v>Donna Wanucha</v>
      </c>
    </row>
    <row r="44" spans="1:15" ht="30" x14ac:dyDescent="0.25">
      <c r="A44" s="6" t="str">
        <f>HYPERLINK("http://www.pendercountync.gov/government/departments/healthdept/Programs/EnvironmentalHealth.aspx","Pender County Health Department")</f>
        <v>Pender County Health Department</v>
      </c>
      <c r="B44" s="7">
        <v>41479</v>
      </c>
      <c r="C44" s="8">
        <v>1</v>
      </c>
      <c r="D44" s="7">
        <v>41837</v>
      </c>
      <c r="E44" s="8" t="s">
        <v>1272</v>
      </c>
      <c r="F44" s="8"/>
      <c r="G44" s="8"/>
      <c r="H44" s="8"/>
      <c r="I44" s="8"/>
      <c r="J44" s="8"/>
      <c r="K44" s="8"/>
      <c r="L44" s="8"/>
      <c r="M44" s="8"/>
      <c r="N44" s="9" t="str">
        <f>HYPERLINK("mailto:dmcvey@pendercountync.gov","Doug Mcvey")</f>
        <v>Doug Mcvey</v>
      </c>
      <c r="O44" s="10" t="str">
        <f>HYPERLINK("mailto:Donna.Wanucha@fda.hhs.gov","Donna Wanucha")</f>
        <v>Donna Wanucha</v>
      </c>
    </row>
    <row r="45" spans="1:15" ht="30" x14ac:dyDescent="0.25">
      <c r="A45" s="11" t="str">
        <f>HYPERLINK("http://www.pittcountync.gov/depts/health/","Pitt County Health Department")</f>
        <v>Pitt County Health Department</v>
      </c>
      <c r="B45" s="12">
        <v>41072</v>
      </c>
      <c r="C45" s="13">
        <v>1</v>
      </c>
      <c r="D45" s="12">
        <v>41414</v>
      </c>
      <c r="E45" s="13" t="s">
        <v>1273</v>
      </c>
      <c r="F45" s="13"/>
      <c r="G45" s="13" t="s">
        <v>1274</v>
      </c>
      <c r="H45" s="13"/>
      <c r="I45" s="13"/>
      <c r="J45" s="13"/>
      <c r="K45" s="13" t="s">
        <v>1275</v>
      </c>
      <c r="L45" s="13"/>
      <c r="M45" s="13" t="s">
        <v>1276</v>
      </c>
      <c r="N45" s="14" t="str">
        <f>HYPERLINK("mailto:ron.honeycutt@pittcountync.gov","Ron Honeycutt")</f>
        <v>Ron Honeycutt</v>
      </c>
      <c r="O45" s="15" t="str">
        <f>HYPERLINK("mailto:Donna.Wanucha@fda.hhs.gov","Donna Wanucha")</f>
        <v>Donna Wanucha</v>
      </c>
    </row>
    <row r="46" spans="1:15" ht="30" x14ac:dyDescent="0.25">
      <c r="A46" s="11" t="str">
        <f>HYPERLINK("http://www.pittcountync.gov/depts/health/","Pitt County Health Department")</f>
        <v>Pitt County Health Department</v>
      </c>
      <c r="B46" s="12">
        <v>41072</v>
      </c>
      <c r="C46" s="13">
        <v>2</v>
      </c>
      <c r="D46" s="12">
        <v>43283</v>
      </c>
      <c r="E46" s="13"/>
      <c r="F46" s="13"/>
      <c r="G46" s="13" t="s">
        <v>494</v>
      </c>
      <c r="H46" s="13"/>
      <c r="I46" s="13"/>
      <c r="J46" s="13"/>
      <c r="K46" s="13" t="s">
        <v>494</v>
      </c>
      <c r="L46" s="13"/>
      <c r="M46" s="13" t="s">
        <v>494</v>
      </c>
      <c r="N46" s="14" t="str">
        <f>HYPERLINK("mailto:ron.honeycutt@pittcountync.gov","Ron Honeycutt")</f>
        <v>Ron Honeycutt</v>
      </c>
      <c r="O46" s="15" t="str">
        <f>HYPERLINK("mailto:Donna.Wanucha@fda.hhs.gov","Donna Wanucha")</f>
        <v>Donna Wanucha</v>
      </c>
    </row>
    <row r="47" spans="1:15" ht="30" x14ac:dyDescent="0.25">
      <c r="A47" s="6" t="str">
        <f>HYPERLINK("http://www.randolphcountync.gov/","Randolph County Health Department")</f>
        <v>Randolph County Health Department</v>
      </c>
      <c r="B47" s="7">
        <v>42835</v>
      </c>
      <c r="C47" s="8">
        <v>1</v>
      </c>
      <c r="D47" s="7">
        <v>43256</v>
      </c>
      <c r="E47" s="8" t="s">
        <v>1277</v>
      </c>
      <c r="F47" s="8"/>
      <c r="G47" s="8"/>
      <c r="H47" s="8"/>
      <c r="I47" s="8"/>
      <c r="J47" s="8"/>
      <c r="K47" s="8"/>
      <c r="L47" s="8"/>
      <c r="M47" s="8"/>
      <c r="N47" s="8"/>
      <c r="O47" s="10" t="str">
        <f>HYPERLINK("mailto:Donna.Wanucha@fda.hhs.gov","Donna Wanucha")</f>
        <v>Donna Wanucha</v>
      </c>
    </row>
    <row r="48" spans="1:15" ht="30" x14ac:dyDescent="0.25">
      <c r="A48" s="11" t="str">
        <f>HYPERLINK("http://www.richmondnc.com/health","Richmond County Health Department")</f>
        <v>Richmond County Health Department</v>
      </c>
      <c r="B48" s="12">
        <v>41481</v>
      </c>
      <c r="C48" s="13">
        <v>1</v>
      </c>
      <c r="D48" s="12">
        <v>41834</v>
      </c>
      <c r="E48" s="13" t="s">
        <v>1278</v>
      </c>
      <c r="F48" s="13"/>
      <c r="G48" s="13" t="s">
        <v>1279</v>
      </c>
      <c r="H48" s="13" t="s">
        <v>1280</v>
      </c>
      <c r="I48" s="13" t="s">
        <v>1281</v>
      </c>
      <c r="J48" s="13"/>
      <c r="K48" s="13"/>
      <c r="L48" s="13"/>
      <c r="M48" s="13" t="s">
        <v>1282</v>
      </c>
      <c r="N48" s="14" t="str">
        <f>HYPERLINK("mailto:holly.haire@richmondnc.com","Holly Haire")</f>
        <v>Holly Haire</v>
      </c>
      <c r="O48" s="15" t="str">
        <f>HYPERLINK("mailto:Donna.Wanucha@fda.hhs.gov","Donna Wanucha")</f>
        <v>Donna Wanucha</v>
      </c>
    </row>
    <row r="49" spans="1:15" ht="30" x14ac:dyDescent="0.25">
      <c r="A49" s="6" t="str">
        <f>HYPERLINK("http://www.rockinghamcountypublichealth.org/","Rockingham County Health Department")</f>
        <v>Rockingham County Health Department</v>
      </c>
      <c r="B49" s="7">
        <v>41911</v>
      </c>
      <c r="C49" s="8">
        <v>1</v>
      </c>
      <c r="D49" s="7">
        <v>42243</v>
      </c>
      <c r="E49" s="8" t="s">
        <v>1283</v>
      </c>
      <c r="F49" s="8"/>
      <c r="G49" s="8" t="s">
        <v>1284</v>
      </c>
      <c r="H49" s="8" t="s">
        <v>1285</v>
      </c>
      <c r="I49" s="8"/>
      <c r="J49" s="8"/>
      <c r="K49" s="8"/>
      <c r="L49" s="8"/>
      <c r="M49" s="8" t="s">
        <v>1286</v>
      </c>
      <c r="N49" s="9" t="str">
        <f>HYPERLINK("mailto:mmcguire@co.rockingham.nc.us","Meg Mcguire")</f>
        <v>Meg Mcguire</v>
      </c>
      <c r="O49" s="10" t="str">
        <f>HYPERLINK("mailto:Donna.Wanucha@fda.hhs.gov","Donna Wanucha")</f>
        <v>Donna Wanucha</v>
      </c>
    </row>
    <row r="50" spans="1:15" ht="30" x14ac:dyDescent="0.25">
      <c r="A50" s="11" t="str">
        <f>HYPERLINK("http://health.co.stanly.nc.us/services/envirnmentalhealth_01.htm","Stanly County Environmental Health")</f>
        <v>Stanly County Environmental Health</v>
      </c>
      <c r="B50" s="12">
        <v>40925</v>
      </c>
      <c r="C50" s="13">
        <v>1</v>
      </c>
      <c r="D50" s="12">
        <v>41261</v>
      </c>
      <c r="E50" s="13" t="s">
        <v>1287</v>
      </c>
      <c r="F50" s="13"/>
      <c r="G50" s="13"/>
      <c r="H50" s="13"/>
      <c r="I50" s="13"/>
      <c r="J50" s="13"/>
      <c r="K50" s="13"/>
      <c r="L50" s="13"/>
      <c r="M50" s="13"/>
      <c r="N50" s="13" t="s">
        <v>1288</v>
      </c>
      <c r="O50" s="15" t="str">
        <f>HYPERLINK("mailto:Donna.Wanucha@fda.hhs.gov","Donna Wanucha")</f>
        <v>Donna Wanucha</v>
      </c>
    </row>
    <row r="51" spans="1:15" ht="30" x14ac:dyDescent="0.25">
      <c r="A51" s="6" t="str">
        <f>HYPERLINK("http://www.toeriverhealth.org/","Toe River Health District")</f>
        <v>Toe River Health District</v>
      </c>
      <c r="B51" s="7">
        <v>41918</v>
      </c>
      <c r="C51" s="8">
        <v>1</v>
      </c>
      <c r="D51" s="7">
        <v>42268</v>
      </c>
      <c r="E51" s="8" t="s">
        <v>1289</v>
      </c>
      <c r="F51" s="8"/>
      <c r="G51" s="8"/>
      <c r="H51" s="8"/>
      <c r="I51" s="8"/>
      <c r="J51" s="8"/>
      <c r="K51" s="8"/>
      <c r="L51" s="8"/>
      <c r="M51" s="8"/>
      <c r="N51" s="9" t="str">
        <f>HYPERLINK("mailto:corey.morris@trhd.dst.nc.us","Corey Morris")</f>
        <v>Corey Morris</v>
      </c>
      <c r="O51" s="10" t="str">
        <f>HYPERLINK("mailto:Cameron.Wiggins@fda.hhs.gov","Cameron Wiggins")</f>
        <v>Cameron Wiggins</v>
      </c>
    </row>
    <row r="52" spans="1:15" ht="30" x14ac:dyDescent="0.25">
      <c r="A52" s="11" t="str">
        <f>HYPERLINK("http://www.co.union.nc.us/HumanServices/HealthDepartment/tabid/298/Default.aspx","Union County Health Department")</f>
        <v>Union County Health Department</v>
      </c>
      <c r="B52" s="12">
        <v>39136</v>
      </c>
      <c r="C52" s="13">
        <v>1</v>
      </c>
      <c r="D52" s="12">
        <v>39618</v>
      </c>
      <c r="E52" s="13"/>
      <c r="F52" s="13" t="s">
        <v>1290</v>
      </c>
      <c r="G52" s="13"/>
      <c r="H52" s="13"/>
      <c r="I52" s="13" t="s">
        <v>1291</v>
      </c>
      <c r="J52" s="13"/>
      <c r="K52" s="13" t="s">
        <v>1292</v>
      </c>
      <c r="L52" s="13"/>
      <c r="M52" s="13" t="s">
        <v>1290</v>
      </c>
      <c r="N52" s="13" t="s">
        <v>1293</v>
      </c>
      <c r="O52" s="15" t="str">
        <f>HYPERLINK("mailto:Donna.Wanucha@fda.hhs.gov","Donna Wanucha")</f>
        <v>Donna Wanucha</v>
      </c>
    </row>
    <row r="53" spans="1:15" ht="30" x14ac:dyDescent="0.25">
      <c r="A53" s="11" t="str">
        <f>HYPERLINK("http://www.co.union.nc.us/HumanServices/HealthDepartment/tabid/298/Default.aspx","Union County Health Department")</f>
        <v>Union County Health Department</v>
      </c>
      <c r="B53" s="12">
        <v>39136</v>
      </c>
      <c r="C53" s="13">
        <v>2</v>
      </c>
      <c r="D53" s="12">
        <v>42093</v>
      </c>
      <c r="E53" s="13" t="s">
        <v>1294</v>
      </c>
      <c r="F53" s="13" t="s">
        <v>1295</v>
      </c>
      <c r="G53" s="13"/>
      <c r="H53" s="13"/>
      <c r="I53" s="13" t="s">
        <v>1294</v>
      </c>
      <c r="J53" s="13"/>
      <c r="K53" s="13"/>
      <c r="L53" s="13"/>
      <c r="M53" s="13"/>
      <c r="N53" s="13" t="s">
        <v>1293</v>
      </c>
      <c r="O53" s="15" t="str">
        <f>HYPERLINK("mailto:Donna.Wanucha@fda.hhs.gov","Donna Wanucha")</f>
        <v>Donna Wanucha</v>
      </c>
    </row>
    <row r="54" spans="1:15" ht="30" x14ac:dyDescent="0.25">
      <c r="A54" s="6" t="str">
        <f>HYPERLINK("http://www.wakegov.com/food/","Wake County Environmental Services")</f>
        <v>Wake County Environmental Services</v>
      </c>
      <c r="B54" s="7">
        <v>39506</v>
      </c>
      <c r="C54" s="8">
        <v>1</v>
      </c>
      <c r="D54" s="7">
        <v>39993</v>
      </c>
      <c r="E54" s="8" t="s">
        <v>1296</v>
      </c>
      <c r="F54" s="8"/>
      <c r="G54" s="8"/>
      <c r="H54" s="8"/>
      <c r="I54" s="8" t="s">
        <v>1297</v>
      </c>
      <c r="J54" s="8"/>
      <c r="K54" s="8" t="s">
        <v>1298</v>
      </c>
      <c r="L54" s="8"/>
      <c r="M54" s="8" t="s">
        <v>1299</v>
      </c>
      <c r="N54" s="8" t="s">
        <v>1300</v>
      </c>
      <c r="O54" s="10" t="str">
        <f>HYPERLINK("mailto:Donna.Wanucha@fda.hhs.gov","Donna Wanucha")</f>
        <v>Donna Wanucha</v>
      </c>
    </row>
    <row r="55" spans="1:15" ht="30" x14ac:dyDescent="0.25">
      <c r="A55" s="6" t="str">
        <f>HYPERLINK("http://www.wakegov.com/food/","Wake County Environmental Services")</f>
        <v>Wake County Environmental Services</v>
      </c>
      <c r="B55" s="7">
        <v>39506</v>
      </c>
      <c r="C55" s="8">
        <v>2</v>
      </c>
      <c r="D55" s="7">
        <v>41873</v>
      </c>
      <c r="E55" s="8" t="s">
        <v>1301</v>
      </c>
      <c r="F55" s="8"/>
      <c r="G55" s="8" t="s">
        <v>1302</v>
      </c>
      <c r="H55" s="8" t="s">
        <v>1303</v>
      </c>
      <c r="I55" s="8" t="s">
        <v>1302</v>
      </c>
      <c r="J55" s="8"/>
      <c r="K55" s="8" t="s">
        <v>1304</v>
      </c>
      <c r="L55" s="8"/>
      <c r="M55" s="8" t="s">
        <v>1305</v>
      </c>
      <c r="N55" s="8" t="s">
        <v>1300</v>
      </c>
      <c r="O55" s="10" t="str">
        <f>HYPERLINK("mailto:Donna.Wanucha@fda.hhs.gov","Donna Wanucha")</f>
        <v>Donna Wanucha</v>
      </c>
    </row>
    <row r="56" spans="1:15" ht="30" x14ac:dyDescent="0.25">
      <c r="A56" s="11" t="str">
        <f>HYPERLINK("http://www.waynegovcom/","Wayne County Health Department")</f>
        <v>Wayne County Health Department</v>
      </c>
      <c r="B56" s="12">
        <v>42696</v>
      </c>
      <c r="C56" s="13">
        <v>1</v>
      </c>
      <c r="D56" s="12">
        <v>43075</v>
      </c>
      <c r="E56" s="13"/>
      <c r="F56" s="13"/>
      <c r="G56" s="13"/>
      <c r="H56" s="13"/>
      <c r="I56" s="13"/>
      <c r="J56" s="13"/>
      <c r="K56" s="13"/>
      <c r="L56" s="13"/>
      <c r="M56" s="13"/>
      <c r="N56" s="14" t="str">
        <f>HYPERLINK("mailto:Scott.Lewis@waynegov.com","Scott Lewis")</f>
        <v>Scott Lewis</v>
      </c>
      <c r="O56" s="15" t="str">
        <f>HYPERLINK("mailto:Donna.Wanucha@fda.hhs.gov","Donna Wanucha")</f>
        <v>Donna Wanucha</v>
      </c>
    </row>
    <row r="57" spans="1:15" ht="30" x14ac:dyDescent="0.25">
      <c r="A57" s="11" t="str">
        <f>HYPERLINK("http://www.waynegovcom/","Wayne County Health Department")</f>
        <v>Wayne County Health Department</v>
      </c>
      <c r="B57" s="12">
        <v>42696</v>
      </c>
      <c r="C57" s="13">
        <v>2</v>
      </c>
      <c r="D57" s="12">
        <v>43075</v>
      </c>
      <c r="E57" s="13"/>
      <c r="F57" s="13"/>
      <c r="G57" s="13"/>
      <c r="H57" s="13"/>
      <c r="I57" s="13"/>
      <c r="J57" s="13"/>
      <c r="K57" s="13"/>
      <c r="L57" s="13"/>
      <c r="M57" s="13"/>
      <c r="N57" s="14" t="str">
        <f>HYPERLINK("mailto:Scott.Lewis@waynegov.com","Scott Lewis")</f>
        <v>Scott Lewis</v>
      </c>
      <c r="O57" s="15" t="str">
        <f>HYPERLINK("mailto:Donna.Wanucha@fda.hhs.gov","Donna Wanucha")</f>
        <v>Donna Wanucha</v>
      </c>
    </row>
    <row r="58" spans="1:15" ht="30" x14ac:dyDescent="0.25">
      <c r="A58" s="6" t="str">
        <f>HYPERLINK("http://www.wilkeshealth.com/","Wilkes County Health")</f>
        <v>Wilkes County Health</v>
      </c>
      <c r="B58" s="7">
        <v>41696</v>
      </c>
      <c r="C58" s="8">
        <v>1</v>
      </c>
      <c r="D58" s="7">
        <v>41884</v>
      </c>
      <c r="E58" s="8" t="s">
        <v>1306</v>
      </c>
      <c r="F58" s="8"/>
      <c r="G58" s="8" t="s">
        <v>1307</v>
      </c>
      <c r="H58" s="8"/>
      <c r="I58" s="8" t="s">
        <v>1308</v>
      </c>
      <c r="J58" s="8"/>
      <c r="K58" s="8" t="s">
        <v>1309</v>
      </c>
      <c r="L58" s="8"/>
      <c r="M58" s="8" t="s">
        <v>1310</v>
      </c>
      <c r="N58" s="9" t="str">
        <f>HYPERLINK("mailto:arhodes@wilkescounty.net","Angela Rhodes")</f>
        <v>Angela Rhodes</v>
      </c>
      <c r="O58" s="10" t="str">
        <f>HYPERLINK("mailto:Donna.Wanucha@fda.hhs.gov","Donna Wanucha")</f>
        <v>Donna Wanucha</v>
      </c>
    </row>
    <row r="59" spans="1:15" ht="30" x14ac:dyDescent="0.25">
      <c r="A59" s="22" t="str">
        <f>HYPERLINK("http://www.wilson-co.com/","Wilson County Health Department")</f>
        <v>Wilson County Health Department</v>
      </c>
      <c r="B59" s="23">
        <v>41978</v>
      </c>
      <c r="C59" s="24">
        <v>1</v>
      </c>
      <c r="D59" s="23">
        <v>42961</v>
      </c>
      <c r="E59" s="24"/>
      <c r="F59" s="24"/>
      <c r="G59" s="24"/>
      <c r="H59" s="24"/>
      <c r="I59" s="24"/>
      <c r="J59" s="24"/>
      <c r="K59" s="24"/>
      <c r="L59" s="24"/>
      <c r="M59" s="24"/>
      <c r="N59" s="25" t="str">
        <f>HYPERLINK("mailto:amanning@wilson-co.com","Angie Manning")</f>
        <v>Angie Manning</v>
      </c>
      <c r="O59" s="26" t="str">
        <f>HYPERLINK("mailto:Donna.Wanucha@fda.hhs.gov","Donna Wanucha")</f>
        <v>Donna Wanucha</v>
      </c>
    </row>
  </sheetData>
  <pageMargins left="0.15" right="0.15" top="0.25" bottom="0.25" header="0.05" footer="0.05"/>
  <pageSetup orientation="landscape" r:id="rId1"/>
  <tableParts count="1">
    <tablePart r:id="rId2"/>
  </tablePart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F63B3-56A9-4EE8-BE95-14A34533224B}">
  <sheetPr>
    <pageSetUpPr fitToPage="1"/>
  </sheetPr>
  <dimension ref="A1:O12"/>
  <sheetViews>
    <sheetView workbookViewId="0"/>
  </sheetViews>
  <sheetFormatPr defaultRowHeight="15" x14ac:dyDescent="0.25"/>
  <cols>
    <col min="1" max="1" width="33.7109375" customWidth="1"/>
    <col min="2" max="2" width="14.85546875" customWidth="1"/>
    <col min="3" max="3" width="18.42578125" customWidth="1"/>
    <col min="4" max="4" width="22" customWidth="1"/>
    <col min="5" max="13" width="17.28515625" customWidth="1"/>
    <col min="14" max="14" width="14.85546875" customWidth="1"/>
    <col min="15" max="15" width="13.140625" customWidth="1"/>
  </cols>
  <sheetData>
    <row r="1" spans="1:15" x14ac:dyDescent="0.25">
      <c r="A1" t="s">
        <v>1322</v>
      </c>
      <c r="B1" s="2" t="str">
        <f>HYPERLINK("#Introduction!A1","Back to Introduction Page")</f>
        <v>Back to Introduction Page</v>
      </c>
    </row>
    <row r="2" spans="1:15" x14ac:dyDescent="0.25">
      <c r="A2" s="21" t="s">
        <v>1323</v>
      </c>
    </row>
    <row r="3" spans="1:15" ht="45" x14ac:dyDescent="0.25">
      <c r="A3" s="4" t="s">
        <v>15</v>
      </c>
      <c r="B3" s="3" t="s">
        <v>16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21</v>
      </c>
      <c r="H3" s="3" t="s">
        <v>22</v>
      </c>
      <c r="I3" s="3" t="s">
        <v>23</v>
      </c>
      <c r="J3" s="3" t="s">
        <v>24</v>
      </c>
      <c r="K3" s="3" t="s">
        <v>25</v>
      </c>
      <c r="L3" s="3" t="s">
        <v>26</v>
      </c>
      <c r="M3" s="3" t="s">
        <v>27</v>
      </c>
      <c r="N3" s="3" t="s">
        <v>28</v>
      </c>
      <c r="O3" s="5" t="s">
        <v>29</v>
      </c>
    </row>
    <row r="4" spans="1:15" ht="30" x14ac:dyDescent="0.25">
      <c r="A4" s="6" t="str">
        <f>HYPERLINK("http://www.bismarcknd.gov/publichealth","Bismarck Burleigh Public Health")</f>
        <v>Bismarck Burleigh Public Health</v>
      </c>
      <c r="B4" s="7">
        <v>42677</v>
      </c>
      <c r="C4" s="8">
        <v>1</v>
      </c>
      <c r="D4" s="7">
        <v>42977</v>
      </c>
      <c r="E4" s="8"/>
      <c r="F4" s="8"/>
      <c r="G4" s="8"/>
      <c r="H4" s="8"/>
      <c r="I4" s="8"/>
      <c r="J4" s="8"/>
      <c r="K4" s="8"/>
      <c r="L4" s="8"/>
      <c r="M4" s="8"/>
      <c r="N4" s="9" t="str">
        <f>HYPERLINK("mailto:asattler@bismarcknd.gov","Anton Sattler")</f>
        <v>Anton Sattler</v>
      </c>
      <c r="O4" s="10" t="str">
        <f>HYPERLINK("mailto:Greg.Abel@fda.hhs.gov","Greg Abel")</f>
        <v>Greg Abel</v>
      </c>
    </row>
    <row r="5" spans="1:15" x14ac:dyDescent="0.25">
      <c r="A5" s="29" t="s">
        <v>1313</v>
      </c>
      <c r="B5" s="12">
        <v>37802</v>
      </c>
      <c r="C5" s="13">
        <v>1</v>
      </c>
      <c r="D5" s="12">
        <v>38140</v>
      </c>
      <c r="E5" s="13" t="s">
        <v>896</v>
      </c>
      <c r="F5" s="13"/>
      <c r="G5" s="13"/>
      <c r="H5" s="13"/>
      <c r="I5" s="13"/>
      <c r="J5" s="13"/>
      <c r="K5" s="13" t="s">
        <v>896</v>
      </c>
      <c r="L5" s="13"/>
      <c r="M5" s="13"/>
      <c r="N5" s="13"/>
      <c r="O5" s="15" t="str">
        <f>HYPERLINK("mailto:Greg.Abel@fda.hhs.gov","Greg Abel")</f>
        <v>Greg Abel</v>
      </c>
    </row>
    <row r="6" spans="1:15" x14ac:dyDescent="0.25">
      <c r="A6" s="29" t="s">
        <v>1313</v>
      </c>
      <c r="B6" s="12">
        <v>37802</v>
      </c>
      <c r="C6" s="13">
        <v>2</v>
      </c>
      <c r="D6" s="12">
        <v>41030</v>
      </c>
      <c r="E6" s="13" t="s">
        <v>1314</v>
      </c>
      <c r="F6" s="13"/>
      <c r="G6" s="13"/>
      <c r="H6" s="13"/>
      <c r="I6" s="13" t="s">
        <v>1315</v>
      </c>
      <c r="J6" s="13"/>
      <c r="K6" s="13"/>
      <c r="L6" s="13"/>
      <c r="M6" s="13"/>
      <c r="N6" s="13"/>
      <c r="O6" s="15" t="str">
        <f>HYPERLINK("mailto:Greg.Abel@fda.hhs.gov","Greg Abel")</f>
        <v>Greg Abel</v>
      </c>
    </row>
    <row r="7" spans="1:15" x14ac:dyDescent="0.25">
      <c r="A7" s="29" t="s">
        <v>1313</v>
      </c>
      <c r="B7" s="12">
        <v>37802</v>
      </c>
      <c r="C7" s="13">
        <v>3</v>
      </c>
      <c r="D7" s="12">
        <v>42851</v>
      </c>
      <c r="E7" s="13"/>
      <c r="F7" s="13"/>
      <c r="G7" s="13"/>
      <c r="H7" s="13"/>
      <c r="I7" s="13" t="s">
        <v>1316</v>
      </c>
      <c r="J7" s="13"/>
      <c r="K7" s="13" t="s">
        <v>1316</v>
      </c>
      <c r="L7" s="13"/>
      <c r="M7" s="13"/>
      <c r="N7" s="14" t="str">
        <f>HYPERLINK("mailto:erin.ourada@custerhealth.com","Erin Ourada")</f>
        <v>Erin Ourada</v>
      </c>
      <c r="O7" s="15" t="str">
        <f>HYPERLINK("mailto:Greg.Abel@fda.hhs.gov","Greg Abel")</f>
        <v>Greg Abel</v>
      </c>
    </row>
    <row r="8" spans="1:15" x14ac:dyDescent="0.25">
      <c r="A8" s="6" t="str">
        <f>HYPERLINK("http://fargond.gov/city-government/departments/fargo-cass-public-health","Fargo Cass Public Health")</f>
        <v>Fargo Cass Public Health</v>
      </c>
      <c r="B8" s="7">
        <v>43396</v>
      </c>
      <c r="C8" s="8">
        <v>1</v>
      </c>
      <c r="D8" s="8"/>
      <c r="E8" s="8"/>
      <c r="F8" s="8"/>
      <c r="G8" s="8"/>
      <c r="H8" s="8"/>
      <c r="I8" s="8"/>
      <c r="J8" s="8"/>
      <c r="K8" s="8"/>
      <c r="L8" s="8"/>
      <c r="M8" s="8"/>
      <c r="N8" s="9" t="str">
        <f>HYPERLINK("mailto:lbaum@fargond.gov","Laura Baum")</f>
        <v>Laura Baum</v>
      </c>
      <c r="O8" s="10" t="str">
        <f>HYPERLINK("mailto:Greg.Abel@fda.hhs.gov","Greg Abel")</f>
        <v>Greg Abel</v>
      </c>
    </row>
    <row r="9" spans="1:15" x14ac:dyDescent="0.25">
      <c r="A9" s="29" t="s">
        <v>1317</v>
      </c>
      <c r="B9" s="12">
        <v>42646</v>
      </c>
      <c r="C9" s="13">
        <v>1</v>
      </c>
      <c r="D9" s="12">
        <v>42866</v>
      </c>
      <c r="E9" s="13" t="s">
        <v>1318</v>
      </c>
      <c r="F9" s="13"/>
      <c r="G9" s="13"/>
      <c r="H9" s="13"/>
      <c r="I9" s="13"/>
      <c r="J9" s="13"/>
      <c r="K9" s="13"/>
      <c r="L9" s="13"/>
      <c r="M9" s="13"/>
      <c r="N9" s="14" t="str">
        <f>HYPERLINK("mailto:jdgourneau@nd.gov","Joe Dawn Gourneau")</f>
        <v>Joe Dawn Gourneau</v>
      </c>
      <c r="O9" s="15" t="str">
        <f>HYPERLINK("mailto:Greg.Abel@fda.hhs.gov","Greg Abel")</f>
        <v>Greg Abel</v>
      </c>
    </row>
    <row r="10" spans="1:15" ht="30" x14ac:dyDescent="0.25">
      <c r="A10" s="28" t="s">
        <v>1319</v>
      </c>
      <c r="B10" s="7">
        <v>42677</v>
      </c>
      <c r="C10" s="8">
        <v>1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9" t="str">
        <f>HYPERLINK("mailto:jbedard@grandforksgov.com","Javin Bedard")</f>
        <v>Javin Bedard</v>
      </c>
      <c r="O10" s="10" t="str">
        <f>HYPERLINK("mailto:Greg.Abel@fda.hhs.gov","Greg Abel")</f>
        <v>Greg Abel</v>
      </c>
    </row>
    <row r="11" spans="1:15" ht="30" x14ac:dyDescent="0.25">
      <c r="A11" s="28" t="s">
        <v>1319</v>
      </c>
      <c r="B11" s="7">
        <v>42677</v>
      </c>
      <c r="C11" s="8">
        <v>2</v>
      </c>
      <c r="D11" s="7">
        <v>43069</v>
      </c>
      <c r="E11" s="8"/>
      <c r="F11" s="8"/>
      <c r="G11" s="8"/>
      <c r="H11" s="8"/>
      <c r="I11" s="8"/>
      <c r="J11" s="8"/>
      <c r="K11" s="8"/>
      <c r="L11" s="8"/>
      <c r="M11" s="8"/>
      <c r="N11" s="9" t="str">
        <f>HYPERLINK("mailto:jbedard@grandforksgov.com","Javin Bedard")</f>
        <v>Javin Bedard</v>
      </c>
      <c r="O11" s="10" t="str">
        <f>HYPERLINK("mailto:Greg.Abel@fda.hhs.gov","Greg Abel")</f>
        <v>Greg Abel</v>
      </c>
    </row>
    <row r="12" spans="1:15" ht="30" x14ac:dyDescent="0.25">
      <c r="A12" s="30" t="s">
        <v>1320</v>
      </c>
      <c r="B12" s="23">
        <v>40765</v>
      </c>
      <c r="C12" s="24">
        <v>1</v>
      </c>
      <c r="D12" s="23">
        <v>43462</v>
      </c>
      <c r="E12" s="24" t="s">
        <v>1321</v>
      </c>
      <c r="F12" s="24"/>
      <c r="G12" s="24"/>
      <c r="H12" s="24"/>
      <c r="I12" s="24"/>
      <c r="J12" s="24"/>
      <c r="K12" s="24"/>
      <c r="L12" s="24"/>
      <c r="M12" s="24"/>
      <c r="N12" s="24"/>
      <c r="O12" s="26" t="str">
        <f>HYPERLINK("mailto:Greg.Abel@fda.hhs.gov","Greg Abel")</f>
        <v>Greg Abel</v>
      </c>
    </row>
  </sheetData>
  <pageMargins left="0.15" right="0.15" top="0.25" bottom="0.25" header="0.05" footer="0.05"/>
  <pageSetup orientation="landscape" r:id="rId1"/>
  <tableParts count="1">
    <tablePart r:id="rId2"/>
  </tablePart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F924C-B33E-4994-B486-4F646DACC344}">
  <sheetPr>
    <pageSetUpPr fitToPage="1"/>
  </sheetPr>
  <dimension ref="A1:O5"/>
  <sheetViews>
    <sheetView workbookViewId="0"/>
  </sheetViews>
  <sheetFormatPr defaultRowHeight="15" x14ac:dyDescent="0.25"/>
  <cols>
    <col min="1" max="1" width="33.7109375" customWidth="1"/>
    <col min="2" max="2" width="14.85546875" customWidth="1"/>
    <col min="3" max="3" width="18.42578125" customWidth="1"/>
    <col min="4" max="4" width="22" customWidth="1"/>
    <col min="5" max="13" width="17.28515625" customWidth="1"/>
    <col min="14" max="14" width="14.85546875" customWidth="1"/>
    <col min="15" max="15" width="13.140625" customWidth="1"/>
  </cols>
  <sheetData>
    <row r="1" spans="1:15" x14ac:dyDescent="0.25">
      <c r="A1" t="s">
        <v>1326</v>
      </c>
      <c r="B1" s="2" t="str">
        <f>HYPERLINK("#Introduction!A1","Back to Introduction Page")</f>
        <v>Back to Introduction Page</v>
      </c>
    </row>
    <row r="2" spans="1:15" x14ac:dyDescent="0.25">
      <c r="A2" s="21" t="s">
        <v>1327</v>
      </c>
    </row>
    <row r="3" spans="1:15" ht="45" x14ac:dyDescent="0.25">
      <c r="A3" s="4" t="s">
        <v>15</v>
      </c>
      <c r="B3" s="3" t="s">
        <v>16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21</v>
      </c>
      <c r="H3" s="3" t="s">
        <v>22</v>
      </c>
      <c r="I3" s="3" t="s">
        <v>23</v>
      </c>
      <c r="J3" s="3" t="s">
        <v>24</v>
      </c>
      <c r="K3" s="3" t="s">
        <v>25</v>
      </c>
      <c r="L3" s="3" t="s">
        <v>26</v>
      </c>
      <c r="M3" s="3" t="s">
        <v>27</v>
      </c>
      <c r="N3" s="3" t="s">
        <v>28</v>
      </c>
      <c r="O3" s="5" t="s">
        <v>29</v>
      </c>
    </row>
    <row r="4" spans="1:15" ht="30" x14ac:dyDescent="0.25">
      <c r="A4" s="28" t="s">
        <v>1324</v>
      </c>
      <c r="B4" s="7">
        <v>37685</v>
      </c>
      <c r="C4" s="8">
        <v>1</v>
      </c>
      <c r="D4" s="7">
        <v>37875</v>
      </c>
      <c r="E4" s="8"/>
      <c r="F4" s="8"/>
      <c r="G4" s="8"/>
      <c r="H4" s="8"/>
      <c r="I4" s="8"/>
      <c r="J4" s="8"/>
      <c r="K4" s="8" t="s">
        <v>1325</v>
      </c>
      <c r="L4" s="8"/>
      <c r="M4" s="8"/>
      <c r="N4" s="9" t="str">
        <f>HYPERLINK("mailto:john.tagabuel@dph.gov.mp","John Tagabuel")</f>
        <v>John Tagabuel</v>
      </c>
      <c r="O4" s="10" t="str">
        <f>HYPERLINK("mailto:Richard.Ramirez@fda.hhs.gov","Richard Ramirez")</f>
        <v>Richard Ramirez</v>
      </c>
    </row>
    <row r="5" spans="1:15" ht="30" x14ac:dyDescent="0.25">
      <c r="A5" s="27" t="s">
        <v>1324</v>
      </c>
      <c r="B5" s="17">
        <v>37685</v>
      </c>
      <c r="C5" s="18">
        <v>2</v>
      </c>
      <c r="D5" s="17">
        <v>42594</v>
      </c>
      <c r="E5" s="18"/>
      <c r="F5" s="18"/>
      <c r="G5" s="18"/>
      <c r="H5" s="18"/>
      <c r="I5" s="18"/>
      <c r="J5" s="18"/>
      <c r="K5" s="18"/>
      <c r="L5" s="18"/>
      <c r="M5" s="18"/>
      <c r="N5" s="19" t="str">
        <f>HYPERLINK("mailto:john.tagabuel@dph.gov.mp","John Tagabuel")</f>
        <v>John Tagabuel</v>
      </c>
      <c r="O5" s="20" t="str">
        <f>HYPERLINK("mailto:Richard.Ramirez@fda.hhs.gov","Richard Ramirez")</f>
        <v>Richard Ramirez</v>
      </c>
    </row>
  </sheetData>
  <pageMargins left="0.15" right="0.15" top="0.25" bottom="0.25" header="0.05" footer="0.05"/>
  <pageSetup orientation="landscape" r:id="rId1"/>
  <tableParts count="1">
    <tablePart r:id="rId2"/>
  </tablePart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F9976-F221-45A5-B1D9-DE63A015E5F4}">
  <sheetPr>
    <pageSetUpPr fitToPage="1"/>
  </sheetPr>
  <dimension ref="A1:O24"/>
  <sheetViews>
    <sheetView workbookViewId="0"/>
  </sheetViews>
  <sheetFormatPr defaultRowHeight="15" x14ac:dyDescent="0.25"/>
  <cols>
    <col min="1" max="1" width="33.7109375" customWidth="1"/>
    <col min="2" max="2" width="14.85546875" customWidth="1"/>
    <col min="3" max="3" width="18.42578125" customWidth="1"/>
    <col min="4" max="4" width="22" customWidth="1"/>
    <col min="5" max="13" width="17.28515625" customWidth="1"/>
    <col min="14" max="14" width="14.85546875" customWidth="1"/>
    <col min="15" max="15" width="13.140625" customWidth="1"/>
  </cols>
  <sheetData>
    <row r="1" spans="1:15" x14ac:dyDescent="0.25">
      <c r="A1" t="s">
        <v>1354</v>
      </c>
      <c r="B1" s="2" t="str">
        <f>HYPERLINK("#Introduction!A1","Back to Introduction Page")</f>
        <v>Back to Introduction Page</v>
      </c>
    </row>
    <row r="2" spans="1:15" x14ac:dyDescent="0.25">
      <c r="A2" s="21" t="s">
        <v>1355</v>
      </c>
    </row>
    <row r="3" spans="1:15" ht="45" x14ac:dyDescent="0.25">
      <c r="A3" s="4" t="s">
        <v>15</v>
      </c>
      <c r="B3" s="3" t="s">
        <v>16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21</v>
      </c>
      <c r="H3" s="3" t="s">
        <v>22</v>
      </c>
      <c r="I3" s="3" t="s">
        <v>23</v>
      </c>
      <c r="J3" s="3" t="s">
        <v>24</v>
      </c>
      <c r="K3" s="3" t="s">
        <v>25</v>
      </c>
      <c r="L3" s="3" t="s">
        <v>26</v>
      </c>
      <c r="M3" s="3" t="s">
        <v>27</v>
      </c>
      <c r="N3" s="3" t="s">
        <v>28</v>
      </c>
      <c r="O3" s="5" t="s">
        <v>29</v>
      </c>
    </row>
    <row r="4" spans="1:15" ht="30" x14ac:dyDescent="0.25">
      <c r="A4" s="6" t="str">
        <f>HYPERLINK("http://cincinnati-oh.gov/","Cincinnati Health Department")</f>
        <v>Cincinnati Health Department</v>
      </c>
      <c r="B4" s="7">
        <v>39218</v>
      </c>
      <c r="C4" s="8">
        <v>1</v>
      </c>
      <c r="D4" s="7">
        <v>40042</v>
      </c>
      <c r="E4" s="8"/>
      <c r="F4" s="8"/>
      <c r="G4" s="8"/>
      <c r="H4" s="8"/>
      <c r="I4" s="8"/>
      <c r="J4" s="8"/>
      <c r="K4" s="8" t="s">
        <v>1328</v>
      </c>
      <c r="L4" s="8"/>
      <c r="M4" s="8"/>
      <c r="N4" s="9" t="str">
        <f>HYPERLINK("mailto:gail.long-cook@cincinnati-oh.gov","Gail Long-Cook")</f>
        <v>Gail Long-Cook</v>
      </c>
      <c r="O4" s="10" t="str">
        <f>HYPERLINK("mailto:Kris.Moore@fda.hhs.gov","Kris Moore")</f>
        <v>Kris Moore</v>
      </c>
    </row>
    <row r="5" spans="1:15" ht="30" x14ac:dyDescent="0.25">
      <c r="A5" s="6" t="str">
        <f>HYPERLINK("http://cincinnati-oh.gov/","Cincinnati Health Department")</f>
        <v>Cincinnati Health Department</v>
      </c>
      <c r="B5" s="7">
        <v>39218</v>
      </c>
      <c r="C5" s="8">
        <v>2</v>
      </c>
      <c r="D5" s="7">
        <v>41977</v>
      </c>
      <c r="E5" s="8" t="s">
        <v>1329</v>
      </c>
      <c r="F5" s="8" t="s">
        <v>1330</v>
      </c>
      <c r="G5" s="8"/>
      <c r="H5" s="8"/>
      <c r="I5" s="8" t="s">
        <v>1330</v>
      </c>
      <c r="J5" s="8"/>
      <c r="K5" s="8" t="s">
        <v>1329</v>
      </c>
      <c r="L5" s="8" t="s">
        <v>1329</v>
      </c>
      <c r="M5" s="8"/>
      <c r="N5" s="9" t="str">
        <f>HYPERLINK("mailto:gail.long-cook@cincinnati-oh.gov","Gail Long-Cook")</f>
        <v>Gail Long-Cook</v>
      </c>
      <c r="O5" s="10" t="str">
        <f>HYPERLINK("mailto:Kris.Moore@fda.hhs.gov","Kris Moore")</f>
        <v>Kris Moore</v>
      </c>
    </row>
    <row r="6" spans="1:15" ht="30" x14ac:dyDescent="0.25">
      <c r="A6" s="29" t="s">
        <v>1331</v>
      </c>
      <c r="B6" s="12">
        <v>42678</v>
      </c>
      <c r="C6" s="13">
        <v>1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4" t="str">
        <f>HYPERLINK("mailto:rali@city.cleveland.oh.us","Raafeeq Ali")</f>
        <v>Raafeeq Ali</v>
      </c>
      <c r="O6" s="15" t="str">
        <f>HYPERLINK("mailto:Kris.Moore@fda.hhs.gov","Kris Moore")</f>
        <v>Kris Moore</v>
      </c>
    </row>
    <row r="7" spans="1:15" ht="30" x14ac:dyDescent="0.25">
      <c r="A7" s="6" t="str">
        <f>HYPERLINK("http://ccbh.net/","Cuyahoga County Board of Health")</f>
        <v>Cuyahoga County Board of Health</v>
      </c>
      <c r="B7" s="7">
        <v>39402</v>
      </c>
      <c r="C7" s="8">
        <v>1</v>
      </c>
      <c r="D7" s="7">
        <v>40277</v>
      </c>
      <c r="E7" s="8" t="s">
        <v>1332</v>
      </c>
      <c r="F7" s="8"/>
      <c r="G7" s="8"/>
      <c r="H7" s="8"/>
      <c r="I7" s="8" t="s">
        <v>1332</v>
      </c>
      <c r="J7" s="8"/>
      <c r="K7" s="8" t="s">
        <v>1332</v>
      </c>
      <c r="L7" s="8"/>
      <c r="M7" s="8"/>
      <c r="N7" s="8" t="s">
        <v>1333</v>
      </c>
      <c r="O7" s="10" t="str">
        <f>HYPERLINK("mailto:Kris.Moore@fda.hhs.gov","Kris Moore")</f>
        <v>Kris Moore</v>
      </c>
    </row>
    <row r="8" spans="1:15" ht="30" x14ac:dyDescent="0.25">
      <c r="A8" s="6" t="str">
        <f>HYPERLINK("http://ccbh.net/","Cuyahoga County Board of Health")</f>
        <v>Cuyahoga County Board of Health</v>
      </c>
      <c r="B8" s="7">
        <v>39402</v>
      </c>
      <c r="C8" s="8">
        <v>2</v>
      </c>
      <c r="D8" s="7">
        <v>42597</v>
      </c>
      <c r="E8" s="8"/>
      <c r="F8" s="8"/>
      <c r="G8" s="8"/>
      <c r="H8" s="8"/>
      <c r="I8" s="8"/>
      <c r="J8" s="8" t="s">
        <v>1334</v>
      </c>
      <c r="K8" s="8" t="s">
        <v>1334</v>
      </c>
      <c r="L8" s="8"/>
      <c r="M8" s="8"/>
      <c r="N8" s="8" t="s">
        <v>1333</v>
      </c>
      <c r="O8" s="10" t="str">
        <f>HYPERLINK("mailto:Kris.Moore@fda.hhs.gov","Kris Moore")</f>
        <v>Kris Moore</v>
      </c>
    </row>
    <row r="9" spans="1:15" ht="30" x14ac:dyDescent="0.25">
      <c r="A9" s="11" t="str">
        <f>HYPERLINK("http://www.ecghd.org","Erie County General Health District")</f>
        <v>Erie County General Health District</v>
      </c>
      <c r="B9" s="12">
        <v>41677</v>
      </c>
      <c r="C9" s="13">
        <v>1</v>
      </c>
      <c r="D9" s="12">
        <v>41884</v>
      </c>
      <c r="E9" s="13"/>
      <c r="F9" s="13"/>
      <c r="G9" s="13"/>
      <c r="H9" s="13"/>
      <c r="I9" s="13"/>
      <c r="J9" s="13"/>
      <c r="K9" s="13" t="s">
        <v>1335</v>
      </c>
      <c r="L9" s="13" t="s">
        <v>1335</v>
      </c>
      <c r="M9" s="13"/>
      <c r="N9" s="14" t="str">
        <f>HYPERLINK("mailto:rengland@ecgh.org","Robert England")</f>
        <v>Robert England</v>
      </c>
      <c r="O9" s="15" t="str">
        <f>HYPERLINK("mailto:Kris.Moore@fda.hhs.gov","Kris Moore")</f>
        <v>Kris Moore</v>
      </c>
    </row>
    <row r="10" spans="1:15" x14ac:dyDescent="0.25">
      <c r="A10" s="28" t="s">
        <v>1336</v>
      </c>
      <c r="B10" s="7">
        <v>42688</v>
      </c>
      <c r="C10" s="8">
        <v>1</v>
      </c>
      <c r="D10" s="7">
        <v>43004</v>
      </c>
      <c r="E10" s="8"/>
      <c r="F10" s="8"/>
      <c r="G10" s="8"/>
      <c r="H10" s="8"/>
      <c r="I10" s="8"/>
      <c r="J10" s="8"/>
      <c r="K10" s="8"/>
      <c r="L10" s="8"/>
      <c r="M10" s="8"/>
      <c r="N10" s="9" t="str">
        <f>HYPERLINK("mailto:broberts@huroncohealth.com","Brendan Roberts")</f>
        <v>Brendan Roberts</v>
      </c>
      <c r="O10" s="10" t="str">
        <f>HYPERLINK("mailto:Kris.Moore@fda.hhs.gov","Kris Moore")</f>
        <v>Kris Moore</v>
      </c>
    </row>
    <row r="11" spans="1:15" ht="30" x14ac:dyDescent="0.25">
      <c r="A11" s="29" t="s">
        <v>1337</v>
      </c>
      <c r="B11" s="12">
        <v>42724</v>
      </c>
      <c r="C11" s="13">
        <v>1</v>
      </c>
      <c r="D11" s="12">
        <v>42601</v>
      </c>
      <c r="E11" s="13" t="s">
        <v>1338</v>
      </c>
      <c r="F11" s="13" t="s">
        <v>1338</v>
      </c>
      <c r="G11" s="13"/>
      <c r="H11" s="13" t="s">
        <v>1338</v>
      </c>
      <c r="I11" s="13"/>
      <c r="J11" s="13"/>
      <c r="K11" s="13" t="s">
        <v>1338</v>
      </c>
      <c r="L11" s="13"/>
      <c r="M11" s="13"/>
      <c r="N11" s="14" t="str">
        <f>HYPERLINK("mailto:neistadtj@kent-ohio.org","Jeff Neistadt")</f>
        <v>Jeff Neistadt</v>
      </c>
      <c r="O11" s="15" t="str">
        <f>HYPERLINK("mailto:Kris.Moore@fda.hhs.gov","Kris Moore")</f>
        <v>Kris Moore</v>
      </c>
    </row>
    <row r="12" spans="1:15" ht="30" x14ac:dyDescent="0.25">
      <c r="A12" s="28" t="s">
        <v>1339</v>
      </c>
      <c r="B12" s="7">
        <v>41178</v>
      </c>
      <c r="C12" s="8">
        <v>1</v>
      </c>
      <c r="D12" s="7">
        <v>41345</v>
      </c>
      <c r="E12" s="8"/>
      <c r="F12" s="8"/>
      <c r="G12" s="8"/>
      <c r="H12" s="8"/>
      <c r="I12" s="8"/>
      <c r="J12" s="8"/>
      <c r="K12" s="8" t="s">
        <v>1340</v>
      </c>
      <c r="L12" s="8"/>
      <c r="M12" s="8"/>
      <c r="N12" s="9" t="str">
        <f>HYPERLINK("mailto:Dlark@lcghd.org","Dan Lark")</f>
        <v>Dan Lark</v>
      </c>
      <c r="O12" s="10" t="str">
        <f>HYPERLINK("mailto:Kris.Moore@fda.hhs.gov","Kris Moore")</f>
        <v>Kris Moore</v>
      </c>
    </row>
    <row r="13" spans="1:15" ht="30" x14ac:dyDescent="0.25">
      <c r="A13" s="28" t="s">
        <v>1339</v>
      </c>
      <c r="B13" s="7">
        <v>41178</v>
      </c>
      <c r="C13" s="8">
        <v>2</v>
      </c>
      <c r="D13" s="7">
        <v>43250</v>
      </c>
      <c r="E13" s="8"/>
      <c r="F13" s="8"/>
      <c r="G13" s="8"/>
      <c r="H13" s="8"/>
      <c r="I13" s="8"/>
      <c r="J13" s="8"/>
      <c r="K13" s="8" t="s">
        <v>1341</v>
      </c>
      <c r="L13" s="8"/>
      <c r="M13" s="8"/>
      <c r="N13" s="9" t="str">
        <f>HYPERLINK("mailto:Dlark@lcghd.org","Dan Lark")</f>
        <v>Dan Lark</v>
      </c>
      <c r="O13" s="10" t="str">
        <f>HYPERLINK("mailto:Kris.Moore@fda.hhs.gov","Kris Moore")</f>
        <v>Kris Moore</v>
      </c>
    </row>
    <row r="14" spans="1:15" ht="30" x14ac:dyDescent="0.25">
      <c r="A14" s="29" t="s">
        <v>1342</v>
      </c>
      <c r="B14" s="12">
        <v>42250</v>
      </c>
      <c r="C14" s="13">
        <v>1</v>
      </c>
      <c r="D14" s="12">
        <v>42608</v>
      </c>
      <c r="E14" s="13"/>
      <c r="F14" s="13"/>
      <c r="G14" s="13"/>
      <c r="H14" s="13"/>
      <c r="I14" s="13"/>
      <c r="J14" s="13" t="s">
        <v>1343</v>
      </c>
      <c r="K14" s="13" t="s">
        <v>1343</v>
      </c>
      <c r="L14" s="13"/>
      <c r="M14" s="13"/>
      <c r="N14" s="14" t="str">
        <f>HYPERLINK("mailto:cbrown@lickingcohealth.org","Chad Brown")</f>
        <v>Chad Brown</v>
      </c>
      <c r="O14" s="15" t="str">
        <f>HYPERLINK("mailto:Kris.Moore@fda.hhs.gov","Kris Moore")</f>
        <v>Kris Moore</v>
      </c>
    </row>
    <row r="15" spans="1:15" ht="30" x14ac:dyDescent="0.25">
      <c r="A15" s="6" t="str">
        <f>HYPERLINK("http://www.loraincountyhealth.com/","Lorain County General Health District")</f>
        <v>Lorain County General Health District</v>
      </c>
      <c r="B15" s="7">
        <v>41694</v>
      </c>
      <c r="C15" s="8">
        <v>1</v>
      </c>
      <c r="D15" s="7">
        <v>42643</v>
      </c>
      <c r="E15" s="8"/>
      <c r="F15" s="8"/>
      <c r="G15" s="8"/>
      <c r="H15" s="8"/>
      <c r="I15" s="8"/>
      <c r="J15" s="8"/>
      <c r="K15" s="8"/>
      <c r="L15" s="8"/>
      <c r="M15" s="8"/>
      <c r="N15" s="9" t="str">
        <f>HYPERLINK("mailto:spozna@loraincountyhealth.com","Scott Pozna")</f>
        <v>Scott Pozna</v>
      </c>
      <c r="O15" s="10" t="str">
        <f>HYPERLINK("mailto:Kris.Moore@fda.hhs.gov","Kris Moore")</f>
        <v>Kris Moore</v>
      </c>
    </row>
    <row r="16" spans="1:15" ht="30" x14ac:dyDescent="0.25">
      <c r="A16" s="11" t="str">
        <f>HYPERLINK("http://www.mahoninghealth.org/","Mahoning County District Board of Health")</f>
        <v>Mahoning County District Board of Health</v>
      </c>
      <c r="B16" s="12">
        <v>41079</v>
      </c>
      <c r="C16" s="13">
        <v>1</v>
      </c>
      <c r="D16" s="12">
        <v>41452</v>
      </c>
      <c r="E16" s="13" t="s">
        <v>1344</v>
      </c>
      <c r="F16" s="13"/>
      <c r="G16" s="13"/>
      <c r="H16" s="13"/>
      <c r="I16" s="13"/>
      <c r="J16" s="13"/>
      <c r="K16" s="13" t="s">
        <v>1345</v>
      </c>
      <c r="L16" s="13"/>
      <c r="M16" s="13"/>
      <c r="N16" s="14" t="str">
        <f>HYPERLINK("mailto:jhallas@mahoninghealth.org","John Hallas")</f>
        <v>John Hallas</v>
      </c>
      <c r="O16" s="15" t="str">
        <f>HYPERLINK("mailto:Kris.Moore@fda.hhs.gov","Kris Moore")</f>
        <v>Kris Moore</v>
      </c>
    </row>
    <row r="17" spans="1:15" ht="30" x14ac:dyDescent="0.25">
      <c r="A17" s="11" t="str">
        <f>HYPERLINK("http://www.mahoninghealth.org/","Mahoning County District Board of Health")</f>
        <v>Mahoning County District Board of Health</v>
      </c>
      <c r="B17" s="12">
        <v>41079</v>
      </c>
      <c r="C17" s="13">
        <v>2</v>
      </c>
      <c r="D17" s="12">
        <v>43069</v>
      </c>
      <c r="E17" s="13"/>
      <c r="F17" s="13"/>
      <c r="G17" s="13"/>
      <c r="H17" s="13"/>
      <c r="I17" s="13"/>
      <c r="J17" s="13"/>
      <c r="K17" s="13" t="s">
        <v>1346</v>
      </c>
      <c r="L17" s="13"/>
      <c r="M17" s="13"/>
      <c r="N17" s="14" t="str">
        <f>HYPERLINK("mailto:jhallas@mahoninghealth.org","John Hallas")</f>
        <v>John Hallas</v>
      </c>
      <c r="O17" s="15" t="str">
        <f>HYPERLINK("mailto:Kris.Moore@fda.hhs.gov","Kris Moore")</f>
        <v>Kris Moore</v>
      </c>
    </row>
    <row r="18" spans="1:15" x14ac:dyDescent="0.25">
      <c r="A18" s="28" t="s">
        <v>1347</v>
      </c>
      <c r="B18" s="7">
        <v>43388</v>
      </c>
      <c r="C18" s="8">
        <v>1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9" t="str">
        <f>HYPERLINK("mailto:tpigman@marioncountypublichealth.org","Tyler Pigman")</f>
        <v>Tyler Pigman</v>
      </c>
      <c r="O18" s="10" t="str">
        <f>HYPERLINK("mailto:Kris.Moore@fda.hhs.gov","Kris Moore")</f>
        <v>Kris Moore</v>
      </c>
    </row>
    <row r="19" spans="1:15" ht="30" x14ac:dyDescent="0.25">
      <c r="A19" s="11" t="str">
        <f>HYPERLINK("http://foodsafety@agri.ohio.gov","Ohio Department of Agriculture")</f>
        <v>Ohio Department of Agriculture</v>
      </c>
      <c r="B19" s="12">
        <v>41388</v>
      </c>
      <c r="C19" s="13">
        <v>1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4" t="str">
        <f>HYPERLINK("mailto:Gerhardt@agri.oh.gov","Terri Gerhardt")</f>
        <v>Terri Gerhardt</v>
      </c>
      <c r="O19" s="15" t="str">
        <f>HYPERLINK("mailto:Kris.Moore@fda.hhs.gov","Kris Moore")</f>
        <v>Kris Moore</v>
      </c>
    </row>
    <row r="20" spans="1:15" x14ac:dyDescent="0.25">
      <c r="A20" s="6" t="str">
        <f>HYPERLINK("http://www.odh.ohio.gov/","Ohio Department of Health")</f>
        <v>Ohio Department of Health</v>
      </c>
      <c r="B20" s="7">
        <v>38162</v>
      </c>
      <c r="C20" s="8">
        <v>1</v>
      </c>
      <c r="D20" s="7">
        <v>38162</v>
      </c>
      <c r="E20" s="8" t="s">
        <v>1348</v>
      </c>
      <c r="F20" s="8" t="s">
        <v>1348</v>
      </c>
      <c r="G20" s="8" t="s">
        <v>1348</v>
      </c>
      <c r="H20" s="8" t="s">
        <v>1348</v>
      </c>
      <c r="I20" s="8" t="s">
        <v>1348</v>
      </c>
      <c r="J20" s="8"/>
      <c r="K20" s="8" t="s">
        <v>1348</v>
      </c>
      <c r="L20" s="8"/>
      <c r="M20" s="8"/>
      <c r="N20" s="9" t="str">
        <f>HYPERLINK("mailto:Jamie.higley@odh.ohio.gov","Jamie Higley")</f>
        <v>Jamie Higley</v>
      </c>
      <c r="O20" s="10" t="str">
        <f>HYPERLINK("mailto:Kris.Moore@fda.hhs.gov","Kris Moore")</f>
        <v>Kris Moore</v>
      </c>
    </row>
    <row r="21" spans="1:15" x14ac:dyDescent="0.25">
      <c r="A21" s="6" t="str">
        <f>HYPERLINK("http://www.odh.ohio.gov/","Ohio Department of Health")</f>
        <v>Ohio Department of Health</v>
      </c>
      <c r="B21" s="7">
        <v>38162</v>
      </c>
      <c r="C21" s="8">
        <v>2</v>
      </c>
      <c r="D21" s="7">
        <v>43005</v>
      </c>
      <c r="E21" s="8"/>
      <c r="F21" s="8"/>
      <c r="G21" s="8"/>
      <c r="H21" s="8"/>
      <c r="I21" s="8"/>
      <c r="J21" s="8"/>
      <c r="K21" s="8"/>
      <c r="L21" s="8"/>
      <c r="M21" s="8"/>
      <c r="N21" s="9" t="str">
        <f>HYPERLINK("mailto:Jamie.higley@odh.ohio.gov","Jamie Higley")</f>
        <v>Jamie Higley</v>
      </c>
      <c r="O21" s="10" t="str">
        <f>HYPERLINK("mailto:Kris.Moore@fda.hhs.gov","Kris Moore")</f>
        <v>Kris Moore</v>
      </c>
    </row>
    <row r="22" spans="1:15" ht="30" x14ac:dyDescent="0.25">
      <c r="A22" s="11" t="str">
        <f>HYPERLINK("http://www.putnamhealth.com","Putnam County Health Department")</f>
        <v>Putnam County Health Department</v>
      </c>
      <c r="B22" s="12">
        <v>42662</v>
      </c>
      <c r="C22" s="13">
        <v>1</v>
      </c>
      <c r="D22" s="12">
        <v>43098</v>
      </c>
      <c r="E22" s="13"/>
      <c r="F22" s="13"/>
      <c r="G22" s="13"/>
      <c r="H22" s="13"/>
      <c r="I22" s="13"/>
      <c r="J22" s="13"/>
      <c r="K22" s="13"/>
      <c r="L22" s="13"/>
      <c r="M22" s="13"/>
      <c r="N22" s="14" t="str">
        <f>HYPERLINK("mailto:brandi.schrader@putnamhealth.com","Brandi Schrader")</f>
        <v>Brandi Schrader</v>
      </c>
      <c r="O22" s="15" t="str">
        <f>HYPERLINK("mailto:Kris.Moore@fda.hhs.gov","Kris Moore")</f>
        <v>Kris Moore</v>
      </c>
    </row>
    <row r="23" spans="1:15" ht="30" x14ac:dyDescent="0.25">
      <c r="A23" s="28" t="s">
        <v>1349</v>
      </c>
      <c r="B23" s="7">
        <v>41158</v>
      </c>
      <c r="C23" s="8">
        <v>1</v>
      </c>
      <c r="D23" s="7">
        <v>41429</v>
      </c>
      <c r="E23" s="8" t="s">
        <v>1350</v>
      </c>
      <c r="F23" s="8"/>
      <c r="G23" s="8"/>
      <c r="H23" s="8"/>
      <c r="I23" s="8"/>
      <c r="J23" s="8"/>
      <c r="K23" s="8" t="s">
        <v>1351</v>
      </c>
      <c r="L23" s="8"/>
      <c r="M23" s="8"/>
      <c r="N23" s="9" t="str">
        <f>HYPERLINK("mailto:tburford@schd.org","Tonia Burford")</f>
        <v>Tonia Burford</v>
      </c>
      <c r="O23" s="10" t="str">
        <f>HYPERLINK("mailto:Kris.Moore@fda.hhs.gov","Kris Moore")</f>
        <v>Kris Moore</v>
      </c>
    </row>
    <row r="24" spans="1:15" ht="30" x14ac:dyDescent="0.25">
      <c r="A24" s="30" t="s">
        <v>1352</v>
      </c>
      <c r="B24" s="23">
        <v>43010</v>
      </c>
      <c r="C24" s="24">
        <v>1</v>
      </c>
      <c r="D24" s="23">
        <v>43392</v>
      </c>
      <c r="E24" s="24"/>
      <c r="F24" s="24"/>
      <c r="G24" s="24" t="s">
        <v>1353</v>
      </c>
      <c r="H24" s="24"/>
      <c r="I24" s="24"/>
      <c r="J24" s="24"/>
      <c r="K24" s="24" t="s">
        <v>1353</v>
      </c>
      <c r="L24" s="24"/>
      <c r="M24" s="24"/>
      <c r="N24" s="25" t="str">
        <f>HYPERLINK("mailto:marcia.dreiseidel@uchd.net","Marcia Dreiseidel")</f>
        <v>Marcia Dreiseidel</v>
      </c>
      <c r="O24" s="26" t="str">
        <f>HYPERLINK("mailto:Kris.Moore@fda.hhs.gov","Kris Moore")</f>
        <v>Kris Moore</v>
      </c>
    </row>
  </sheetData>
  <pageMargins left="0.15" right="0.15" top="0.25" bottom="0.25" header="0.05" footer="0.05"/>
  <pageSetup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E872E-58FF-4455-BB04-4606D1EE32FE}">
  <sheetPr>
    <pageSetUpPr fitToPage="1"/>
  </sheetPr>
  <dimension ref="A1:O4"/>
  <sheetViews>
    <sheetView workbookViewId="0"/>
  </sheetViews>
  <sheetFormatPr defaultRowHeight="15" x14ac:dyDescent="0.25"/>
  <cols>
    <col min="1" max="1" width="33.7109375" customWidth="1"/>
    <col min="2" max="2" width="14.85546875" customWidth="1"/>
    <col min="3" max="3" width="18.42578125" customWidth="1"/>
    <col min="4" max="4" width="22" customWidth="1"/>
    <col min="5" max="13" width="17.28515625" customWidth="1"/>
    <col min="14" max="14" width="14.85546875" customWidth="1"/>
    <col min="15" max="15" width="13.140625" customWidth="1"/>
  </cols>
  <sheetData>
    <row r="1" spans="1:15" x14ac:dyDescent="0.25">
      <c r="A1" t="s">
        <v>50</v>
      </c>
      <c r="B1" s="2" t="str">
        <f>HYPERLINK("#Introduction!A1","Back to Introduction Page")</f>
        <v>Back to Introduction Page</v>
      </c>
    </row>
    <row r="2" spans="1:15" x14ac:dyDescent="0.25">
      <c r="A2" s="21" t="s">
        <v>51</v>
      </c>
    </row>
    <row r="3" spans="1:15" ht="45" x14ac:dyDescent="0.25">
      <c r="A3" s="4" t="s">
        <v>15</v>
      </c>
      <c r="B3" s="3" t="s">
        <v>16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21</v>
      </c>
      <c r="H3" s="3" t="s">
        <v>22</v>
      </c>
      <c r="I3" s="3" t="s">
        <v>23</v>
      </c>
      <c r="J3" s="3" t="s">
        <v>24</v>
      </c>
      <c r="K3" s="3" t="s">
        <v>25</v>
      </c>
      <c r="L3" s="3" t="s">
        <v>26</v>
      </c>
      <c r="M3" s="3" t="s">
        <v>27</v>
      </c>
      <c r="N3" s="3" t="s">
        <v>28</v>
      </c>
      <c r="O3" s="5" t="s">
        <v>29</v>
      </c>
    </row>
    <row r="4" spans="1:15" ht="30" x14ac:dyDescent="0.25">
      <c r="A4" s="27" t="s">
        <v>49</v>
      </c>
      <c r="B4" s="17">
        <v>42508</v>
      </c>
      <c r="C4" s="18">
        <v>1</v>
      </c>
      <c r="D4" s="18"/>
      <c r="E4" s="18"/>
      <c r="F4" s="18"/>
      <c r="G4" s="18"/>
      <c r="H4" s="18"/>
      <c r="I4" s="18"/>
      <c r="J4" s="18"/>
      <c r="K4" s="18"/>
      <c r="L4" s="18"/>
      <c r="M4" s="18"/>
      <c r="N4" s="19" t="str">
        <f>HYPERLINK("mailto:sslemusu@gmail.com","Siitia Soliai-Lemusu")</f>
        <v>Siitia Soliai-Lemusu</v>
      </c>
      <c r="O4" s="20" t="str">
        <f>HYPERLINK("mailto:Richard.Ramirez@fda.hhs.gov","Richard Ramirez")</f>
        <v>Richard Ramirez</v>
      </c>
    </row>
  </sheetData>
  <pageMargins left="0.15" right="0.15" top="0.25" bottom="0.25" header="0.05" footer="0.05"/>
  <pageSetup orientation="landscape" r:id="rId1"/>
  <tableParts count="1">
    <tablePart r:id="rId2"/>
  </tablePar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C78BA-6673-4D61-A53B-29DCAB527820}">
  <sheetPr>
    <pageSetUpPr fitToPage="1"/>
  </sheetPr>
  <dimension ref="A1:O9"/>
  <sheetViews>
    <sheetView workbookViewId="0"/>
  </sheetViews>
  <sheetFormatPr defaultRowHeight="15" x14ac:dyDescent="0.25"/>
  <cols>
    <col min="1" max="1" width="33.7109375" customWidth="1"/>
    <col min="2" max="2" width="14.85546875" customWidth="1"/>
    <col min="3" max="3" width="18.42578125" customWidth="1"/>
    <col min="4" max="4" width="22" customWidth="1"/>
    <col min="5" max="13" width="17.28515625" customWidth="1"/>
    <col min="14" max="14" width="14.85546875" customWidth="1"/>
    <col min="15" max="15" width="13.140625" customWidth="1"/>
  </cols>
  <sheetData>
    <row r="1" spans="1:15" x14ac:dyDescent="0.25">
      <c r="A1" t="s">
        <v>1367</v>
      </c>
      <c r="B1" s="2" t="str">
        <f>HYPERLINK("#Introduction!A1","Back to Introduction Page")</f>
        <v>Back to Introduction Page</v>
      </c>
    </row>
    <row r="2" spans="1:15" x14ac:dyDescent="0.25">
      <c r="A2" s="21" t="s">
        <v>1368</v>
      </c>
    </row>
    <row r="3" spans="1:15" ht="45" x14ac:dyDescent="0.25">
      <c r="A3" s="4" t="s">
        <v>15</v>
      </c>
      <c r="B3" s="3" t="s">
        <v>16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21</v>
      </c>
      <c r="H3" s="3" t="s">
        <v>22</v>
      </c>
      <c r="I3" s="3" t="s">
        <v>23</v>
      </c>
      <c r="J3" s="3" t="s">
        <v>24</v>
      </c>
      <c r="K3" s="3" t="s">
        <v>25</v>
      </c>
      <c r="L3" s="3" t="s">
        <v>26</v>
      </c>
      <c r="M3" s="3" t="s">
        <v>27</v>
      </c>
      <c r="N3" s="3" t="s">
        <v>28</v>
      </c>
      <c r="O3" s="5" t="s">
        <v>29</v>
      </c>
    </row>
    <row r="4" spans="1:15" ht="30" x14ac:dyDescent="0.25">
      <c r="A4" s="6" t="str">
        <f>HYPERLINK("http://www.occhd.org/","Oklahoma City - County Health Department")</f>
        <v>Oklahoma City - County Health Department</v>
      </c>
      <c r="B4" s="7">
        <v>38937</v>
      </c>
      <c r="C4" s="8">
        <v>1</v>
      </c>
      <c r="D4" s="7">
        <v>39811</v>
      </c>
      <c r="E4" s="8" t="s">
        <v>1356</v>
      </c>
      <c r="F4" s="8"/>
      <c r="G4" s="8" t="s">
        <v>1357</v>
      </c>
      <c r="H4" s="8"/>
      <c r="I4" s="8"/>
      <c r="J4" s="8"/>
      <c r="K4" s="8" t="s">
        <v>1358</v>
      </c>
      <c r="L4" s="8"/>
      <c r="M4" s="8"/>
      <c r="N4" s="9" t="str">
        <f>HYPERLINK("mailto:elaine_winterink@occhd.org","Elaine Winterink")</f>
        <v>Elaine Winterink</v>
      </c>
      <c r="O4" s="10" t="str">
        <f>HYPERLINK("mailto:Celeste.Parker@fda.hhs.gov","Celeste Parker")</f>
        <v>Celeste Parker</v>
      </c>
    </row>
    <row r="5" spans="1:15" ht="30" x14ac:dyDescent="0.25">
      <c r="A5" s="6" t="str">
        <f>HYPERLINK("http://www.occhd.org/","Oklahoma City - County Health Department")</f>
        <v>Oklahoma City - County Health Department</v>
      </c>
      <c r="B5" s="7">
        <v>38937</v>
      </c>
      <c r="C5" s="8">
        <v>2</v>
      </c>
      <c r="D5" s="7">
        <v>41873</v>
      </c>
      <c r="E5" s="8"/>
      <c r="F5" s="8" t="s">
        <v>1359</v>
      </c>
      <c r="G5" s="8" t="s">
        <v>1359</v>
      </c>
      <c r="H5" s="8"/>
      <c r="I5" s="8"/>
      <c r="J5" s="8"/>
      <c r="K5" s="8" t="s">
        <v>1359</v>
      </c>
      <c r="L5" s="8"/>
      <c r="M5" s="8"/>
      <c r="N5" s="9" t="str">
        <f>HYPERLINK("mailto:elaine_winterink@occhd.org","Elaine Winterink")</f>
        <v>Elaine Winterink</v>
      </c>
      <c r="O5" s="10" t="str">
        <f>HYPERLINK("mailto:Celeste.Parker@fda.hhs.gov","Celeste Parker")</f>
        <v>Celeste Parker</v>
      </c>
    </row>
    <row r="6" spans="1:15" ht="30" x14ac:dyDescent="0.25">
      <c r="A6" s="11" t="str">
        <f>HYPERLINK("http://www.ok.gov/health/","Oklahoma State Department of Health")</f>
        <v>Oklahoma State Department of Health</v>
      </c>
      <c r="B6" s="12">
        <v>37725</v>
      </c>
      <c r="C6" s="13">
        <v>1</v>
      </c>
      <c r="D6" s="12">
        <v>38272</v>
      </c>
      <c r="E6" s="13" t="s">
        <v>1360</v>
      </c>
      <c r="F6" s="13"/>
      <c r="G6" s="13"/>
      <c r="H6" s="13"/>
      <c r="I6" s="13"/>
      <c r="J6" s="13"/>
      <c r="K6" s="13" t="s">
        <v>1360</v>
      </c>
      <c r="L6" s="13"/>
      <c r="M6" s="13"/>
      <c r="N6" s="14" t="str">
        <f>HYPERLINK("mailto:KCEly@health.ok.gov","K.C. Ely")</f>
        <v>K.C. Ely</v>
      </c>
      <c r="O6" s="15" t="str">
        <f>HYPERLINK("mailto:Celeste.Parker@fda.hhs.gov","Celeste Parker")</f>
        <v>Celeste Parker</v>
      </c>
    </row>
    <row r="7" spans="1:15" ht="30" x14ac:dyDescent="0.25">
      <c r="A7" s="28" t="s">
        <v>1361</v>
      </c>
      <c r="B7" s="7">
        <v>42689</v>
      </c>
      <c r="C7" s="8">
        <v>1</v>
      </c>
      <c r="D7" s="8"/>
      <c r="E7" s="8"/>
      <c r="F7" s="8"/>
      <c r="G7" s="8"/>
      <c r="H7" s="8"/>
      <c r="I7" s="8"/>
      <c r="J7" s="8"/>
      <c r="K7" s="8"/>
      <c r="L7" s="8"/>
      <c r="M7" s="8"/>
      <c r="N7" s="9" t="str">
        <f>HYPERLINK("mailto:smiller@otoegaming.com","Scott Miller")</f>
        <v>Scott Miller</v>
      </c>
      <c r="O7" s="10" t="str">
        <f>HYPERLINK("mailto:Celeste.Parker@fda.hhs.gov","Celeste Parker")</f>
        <v>Celeste Parker</v>
      </c>
    </row>
    <row r="8" spans="1:15" ht="30" x14ac:dyDescent="0.25">
      <c r="A8" s="11" t="str">
        <f>HYPERLINK("http://www.tulsa-health.org/","Tulsa City-County Health Department")</f>
        <v>Tulsa City-County Health Department</v>
      </c>
      <c r="B8" s="12">
        <v>37323</v>
      </c>
      <c r="C8" s="13">
        <v>1</v>
      </c>
      <c r="D8" s="12">
        <v>37581</v>
      </c>
      <c r="E8" s="13" t="s">
        <v>1362</v>
      </c>
      <c r="F8" s="13" t="s">
        <v>1363</v>
      </c>
      <c r="G8" s="13" t="s">
        <v>1362</v>
      </c>
      <c r="H8" s="13"/>
      <c r="I8" s="13"/>
      <c r="J8" s="13"/>
      <c r="K8" s="13" t="s">
        <v>1363</v>
      </c>
      <c r="L8" s="13"/>
      <c r="M8" s="13"/>
      <c r="N8" s="14" t="str">
        <f>HYPERLINK("mailto:dwatts@tulsa-health.org","Debbie Watts")</f>
        <v>Debbie Watts</v>
      </c>
      <c r="O8" s="15" t="str">
        <f>HYPERLINK("mailto:Celeste.Parker@fda.hhs.gov","Celeste Parker")</f>
        <v>Celeste Parker</v>
      </c>
    </row>
    <row r="9" spans="1:15" ht="30" x14ac:dyDescent="0.25">
      <c r="A9" s="22" t="str">
        <f>HYPERLINK("http://www.tulsa-health.org/","Tulsa City-County Health Department")</f>
        <v>Tulsa City-County Health Department</v>
      </c>
      <c r="B9" s="23">
        <v>37323</v>
      </c>
      <c r="C9" s="24">
        <v>2</v>
      </c>
      <c r="D9" s="23">
        <v>40522</v>
      </c>
      <c r="E9" s="24" t="s">
        <v>1364</v>
      </c>
      <c r="F9" s="24" t="s">
        <v>1364</v>
      </c>
      <c r="G9" s="24" t="s">
        <v>1364</v>
      </c>
      <c r="H9" s="24" t="s">
        <v>1365</v>
      </c>
      <c r="I9" s="24" t="s">
        <v>1366</v>
      </c>
      <c r="J9" s="24"/>
      <c r="K9" s="24" t="s">
        <v>1364</v>
      </c>
      <c r="L9" s="24"/>
      <c r="M9" s="24"/>
      <c r="N9" s="25" t="str">
        <f>HYPERLINK("mailto:dwatts@tulsa-health.org","Debbie Watts")</f>
        <v>Debbie Watts</v>
      </c>
      <c r="O9" s="26" t="str">
        <f>HYPERLINK("mailto:Celeste.Parker@fda.hhs.gov","Celeste Parker")</f>
        <v>Celeste Parker</v>
      </c>
    </row>
  </sheetData>
  <pageMargins left="0.15" right="0.15" top="0.25" bottom="0.25" header="0.05" footer="0.05"/>
  <pageSetup orientation="landscape" r:id="rId1"/>
  <tableParts count="1">
    <tablePart r:id="rId2"/>
  </tablePar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79F9F-34FB-4AAF-BB35-BDCFC2B80C60}">
  <sheetPr>
    <pageSetUpPr fitToPage="1"/>
  </sheetPr>
  <dimension ref="A1:O17"/>
  <sheetViews>
    <sheetView workbookViewId="0"/>
  </sheetViews>
  <sheetFormatPr defaultRowHeight="15" x14ac:dyDescent="0.25"/>
  <cols>
    <col min="1" max="1" width="33.7109375" customWidth="1"/>
    <col min="2" max="2" width="14.85546875" customWidth="1"/>
    <col min="3" max="3" width="18.42578125" customWidth="1"/>
    <col min="4" max="4" width="22" customWidth="1"/>
    <col min="5" max="13" width="17.28515625" customWidth="1"/>
    <col min="14" max="14" width="14.85546875" customWidth="1"/>
    <col min="15" max="15" width="13.140625" customWidth="1"/>
  </cols>
  <sheetData>
    <row r="1" spans="1:15" x14ac:dyDescent="0.25">
      <c r="A1" t="s">
        <v>1387</v>
      </c>
      <c r="B1" s="2" t="str">
        <f>HYPERLINK("#Introduction!A1","Back to Introduction Page")</f>
        <v>Back to Introduction Page</v>
      </c>
    </row>
    <row r="2" spans="1:15" x14ac:dyDescent="0.25">
      <c r="A2" s="21" t="s">
        <v>1388</v>
      </c>
    </row>
    <row r="3" spans="1:15" ht="45" x14ac:dyDescent="0.25">
      <c r="A3" s="4" t="s">
        <v>15</v>
      </c>
      <c r="B3" s="3" t="s">
        <v>16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21</v>
      </c>
      <c r="H3" s="3" t="s">
        <v>22</v>
      </c>
      <c r="I3" s="3" t="s">
        <v>23</v>
      </c>
      <c r="J3" s="3" t="s">
        <v>24</v>
      </c>
      <c r="K3" s="3" t="s">
        <v>25</v>
      </c>
      <c r="L3" s="3" t="s">
        <v>26</v>
      </c>
      <c r="M3" s="3" t="s">
        <v>27</v>
      </c>
      <c r="N3" s="3" t="s">
        <v>28</v>
      </c>
      <c r="O3" s="5" t="s">
        <v>29</v>
      </c>
    </row>
    <row r="4" spans="1:15" ht="30" x14ac:dyDescent="0.25">
      <c r="A4" s="6" t="str">
        <f>HYPERLINK("http://www.co.benton.or.us/health/environmental_health/food.php","Benton County Environmental Health")</f>
        <v>Benton County Environmental Health</v>
      </c>
      <c r="B4" s="7">
        <v>41066</v>
      </c>
      <c r="C4" s="8">
        <v>1</v>
      </c>
      <c r="D4" s="8"/>
      <c r="E4" s="8"/>
      <c r="F4" s="8"/>
      <c r="G4" s="8"/>
      <c r="H4" s="8"/>
      <c r="I4" s="8"/>
      <c r="J4" s="8"/>
      <c r="K4" s="8"/>
      <c r="L4" s="8"/>
      <c r="M4" s="8"/>
      <c r="N4" s="8" t="s">
        <v>1369</v>
      </c>
      <c r="O4" s="10" t="str">
        <f>HYPERLINK("mailto:Katey.Kennedy@fda.hhs.gov","Kathryn Kennedy")</f>
        <v>Kathryn Kennedy</v>
      </c>
    </row>
    <row r="5" spans="1:15" ht="30" x14ac:dyDescent="0.25">
      <c r="A5" s="11" t="str">
        <f>HYPERLINK("http://www.clackamas.us/publichealth/environmental.html","Clackamas County Environmental Health")</f>
        <v>Clackamas County Environmental Health</v>
      </c>
      <c r="B5" s="12">
        <v>41863</v>
      </c>
      <c r="C5" s="13">
        <v>1</v>
      </c>
      <c r="D5" s="12">
        <v>42250</v>
      </c>
      <c r="E5" s="13"/>
      <c r="F5" s="13"/>
      <c r="G5" s="13"/>
      <c r="H5" s="13"/>
      <c r="I5" s="13" t="s">
        <v>104</v>
      </c>
      <c r="J5" s="13"/>
      <c r="K5" s="13"/>
      <c r="L5" s="13"/>
      <c r="M5" s="13"/>
      <c r="N5" s="14" t="str">
        <f>HYPERLINK("mailto:JulieHam@co.clackamas.or.us","Julie Hamilton")</f>
        <v>Julie Hamilton</v>
      </c>
      <c r="O5" s="15" t="str">
        <f>HYPERLINK("mailto:Katey.Kennedy@fda.hhs.gov","Kathryn Kennedy")</f>
        <v>Kathryn Kennedy</v>
      </c>
    </row>
    <row r="6" spans="1:15" ht="30" x14ac:dyDescent="0.25">
      <c r="A6" s="6" t="str">
        <f>HYPERLINK("http://www.co.coos.or.us/ph/eh/","Coos County Environmental Health")</f>
        <v>Coos County Environmental Health</v>
      </c>
      <c r="B6" s="7">
        <v>39164</v>
      </c>
      <c r="C6" s="8">
        <v>1</v>
      </c>
      <c r="D6" s="7">
        <v>42066</v>
      </c>
      <c r="E6" s="8"/>
      <c r="F6" s="8"/>
      <c r="G6" s="8"/>
      <c r="H6" s="8"/>
      <c r="I6" s="8"/>
      <c r="J6" s="8"/>
      <c r="K6" s="8" t="s">
        <v>1370</v>
      </c>
      <c r="L6" s="8"/>
      <c r="M6" s="8"/>
      <c r="N6" s="8" t="s">
        <v>1371</v>
      </c>
      <c r="O6" s="10" t="str">
        <f>HYPERLINK("mailto:Katey.Kennedy@fda.hhs.gov","Kathryn Kennedy")</f>
        <v>Kathryn Kennedy</v>
      </c>
    </row>
    <row r="7" spans="1:15" ht="30" x14ac:dyDescent="0.25">
      <c r="A7" s="11" t="str">
        <f>HYPERLINK("http://www.co.deschutes.or.us/go/government/departments/community-development-department/department-organization/environmental-health","Deschutes County Environmental Health")</f>
        <v>Deschutes County Environmental Health</v>
      </c>
      <c r="B7" s="12">
        <v>39024</v>
      </c>
      <c r="C7" s="13">
        <v>1</v>
      </c>
      <c r="D7" s="12">
        <v>42297</v>
      </c>
      <c r="E7" s="13"/>
      <c r="F7" s="13"/>
      <c r="G7" s="13"/>
      <c r="H7" s="13"/>
      <c r="I7" s="13"/>
      <c r="J7" s="13"/>
      <c r="K7" s="13" t="s">
        <v>1372</v>
      </c>
      <c r="L7" s="13"/>
      <c r="M7" s="13"/>
      <c r="N7" s="13" t="s">
        <v>1373</v>
      </c>
      <c r="O7" s="15" t="str">
        <f>HYPERLINK("mailto:Katey.Kennedy@fda.hhs.gov","Kathryn Kennedy")</f>
        <v>Kathryn Kennedy</v>
      </c>
    </row>
    <row r="8" spans="1:15" ht="30" x14ac:dyDescent="0.25">
      <c r="A8" s="6" t="str">
        <f>HYPERLINK("http://www.lanecounty.org/Departments/HHS/Pages/default.aspx","Lane County Environmental Health")</f>
        <v>Lane County Environmental Health</v>
      </c>
      <c r="B8" s="7">
        <v>38742</v>
      </c>
      <c r="C8" s="8">
        <v>1</v>
      </c>
      <c r="D8" s="7">
        <v>39155</v>
      </c>
      <c r="E8" s="8"/>
      <c r="F8" s="8"/>
      <c r="G8" s="8" t="s">
        <v>1374</v>
      </c>
      <c r="H8" s="8"/>
      <c r="I8" s="8" t="s">
        <v>1374</v>
      </c>
      <c r="J8" s="8" t="s">
        <v>1375</v>
      </c>
      <c r="K8" s="8" t="s">
        <v>1374</v>
      </c>
      <c r="L8" s="8"/>
      <c r="M8" s="8" t="s">
        <v>1374</v>
      </c>
      <c r="N8" s="9" t="str">
        <f>HYPERLINK("mailto:Jeffrey.Lang@co.lane.or.us","Jeff Lang")</f>
        <v>Jeff Lang</v>
      </c>
      <c r="O8" s="10" t="str">
        <f>HYPERLINK("mailto:Katey.Kennedy@fda.hhs.gov","Kathryn Kennedy")</f>
        <v>Kathryn Kennedy</v>
      </c>
    </row>
    <row r="9" spans="1:15" ht="30" x14ac:dyDescent="0.25">
      <c r="A9" s="6" t="str">
        <f>HYPERLINK("http://www.lanecounty.org/Departments/HHS/Pages/default.aspx","Lane County Environmental Health")</f>
        <v>Lane County Environmental Health</v>
      </c>
      <c r="B9" s="7">
        <v>38742</v>
      </c>
      <c r="C9" s="8">
        <v>2</v>
      </c>
      <c r="D9" s="7">
        <v>43252</v>
      </c>
      <c r="E9" s="8"/>
      <c r="F9" s="8"/>
      <c r="G9" s="8" t="s">
        <v>1376</v>
      </c>
      <c r="H9" s="8"/>
      <c r="I9" s="8" t="s">
        <v>1376</v>
      </c>
      <c r="J9" s="8" t="s">
        <v>1376</v>
      </c>
      <c r="K9" s="8" t="s">
        <v>1376</v>
      </c>
      <c r="L9" s="8"/>
      <c r="M9" s="8"/>
      <c r="N9" s="9" t="str">
        <f>HYPERLINK("mailto:Jeffrey.Lang@co.lane.or.us","Jeff Lang")</f>
        <v>Jeff Lang</v>
      </c>
      <c r="O9" s="10" t="str">
        <f>HYPERLINK("mailto:Katey.Kennedy@fda.hhs.gov","Kathryn Kennedy")</f>
        <v>Kathryn Kennedy</v>
      </c>
    </row>
    <row r="10" spans="1:15" ht="30" x14ac:dyDescent="0.25">
      <c r="A10" s="11" t="str">
        <f>HYPERLINK("http://www.co.linn.or.us/Health/environ_health/eh.htm","Linn County")</f>
        <v>Linn County</v>
      </c>
      <c r="B10" s="12">
        <v>38588</v>
      </c>
      <c r="C10" s="13">
        <v>1</v>
      </c>
      <c r="D10" s="12">
        <v>38953</v>
      </c>
      <c r="E10" s="13"/>
      <c r="F10" s="13"/>
      <c r="G10" s="13"/>
      <c r="H10" s="13"/>
      <c r="I10" s="13"/>
      <c r="J10" s="13"/>
      <c r="K10" s="13"/>
      <c r="L10" s="13"/>
      <c r="M10" s="13"/>
      <c r="N10" s="13" t="s">
        <v>1377</v>
      </c>
      <c r="O10" s="15" t="str">
        <f>HYPERLINK("mailto:Katey.Kennedy@fda.hhs.gov","Kathryn Kennedy")</f>
        <v>Kathryn Kennedy</v>
      </c>
    </row>
    <row r="11" spans="1:15" ht="30" x14ac:dyDescent="0.25">
      <c r="A11" s="6" t="str">
        <f>HYPERLINK("http://www.co.multnomah.or.us/health/","Multinomah County Health Department")</f>
        <v>Multinomah County Health Department</v>
      </c>
      <c r="B11" s="7">
        <v>37160</v>
      </c>
      <c r="C11" s="8">
        <v>1</v>
      </c>
      <c r="D11" s="7">
        <v>39036</v>
      </c>
      <c r="E11" s="8"/>
      <c r="F11" s="8"/>
      <c r="G11" s="8"/>
      <c r="H11" s="8"/>
      <c r="I11" s="8" t="s">
        <v>1378</v>
      </c>
      <c r="J11" s="8"/>
      <c r="K11" s="8" t="s">
        <v>1379</v>
      </c>
      <c r="L11" s="8"/>
      <c r="M11" s="8"/>
      <c r="N11" s="9" t="str">
        <f>HYPERLINK("mailto:jae.douglas@multco.us","Jae Douglas")</f>
        <v>Jae Douglas</v>
      </c>
      <c r="O11" s="10" t="str">
        <f>HYPERLINK("mailto:Katey.Kennedy@fda.hhs.gov","Kathryn Kennedy")</f>
        <v>Kathryn Kennedy</v>
      </c>
    </row>
    <row r="12" spans="1:15" ht="30" x14ac:dyDescent="0.25">
      <c r="A12" s="6" t="str">
        <f>HYPERLINK("http://www.co.multnomah.or.us/health/","Multinomah County Health Department")</f>
        <v>Multinomah County Health Department</v>
      </c>
      <c r="B12" s="7">
        <v>37160</v>
      </c>
      <c r="C12" s="8">
        <v>2</v>
      </c>
      <c r="D12" s="7">
        <v>41102</v>
      </c>
      <c r="E12" s="8"/>
      <c r="F12" s="8"/>
      <c r="G12" s="8"/>
      <c r="H12" s="8"/>
      <c r="I12" s="8" t="s">
        <v>1380</v>
      </c>
      <c r="J12" s="8" t="s">
        <v>1380</v>
      </c>
      <c r="K12" s="8" t="s">
        <v>1380</v>
      </c>
      <c r="L12" s="8"/>
      <c r="M12" s="8" t="s">
        <v>1380</v>
      </c>
      <c r="N12" s="9" t="str">
        <f>HYPERLINK("mailto:jae.douglas@multco.us","Jae Douglas")</f>
        <v>Jae Douglas</v>
      </c>
      <c r="O12" s="10" t="str">
        <f>HYPERLINK("mailto:Katey.Kennedy@fda.hhs.gov","Kathryn Kennedy")</f>
        <v>Kathryn Kennedy</v>
      </c>
    </row>
    <row r="13" spans="1:15" ht="30" x14ac:dyDescent="0.25">
      <c r="A13" s="29" t="s">
        <v>1381</v>
      </c>
      <c r="B13" s="12">
        <v>39294</v>
      </c>
      <c r="C13" s="13">
        <v>1</v>
      </c>
      <c r="D13" s="12">
        <v>43418</v>
      </c>
      <c r="E13" s="13"/>
      <c r="F13" s="13"/>
      <c r="G13" s="13"/>
      <c r="H13" s="13"/>
      <c r="I13" s="13"/>
      <c r="J13" s="13"/>
      <c r="K13" s="13" t="s">
        <v>261</v>
      </c>
      <c r="L13" s="13"/>
      <c r="M13" s="13"/>
      <c r="N13" s="14" t="str">
        <f>HYPERLINK("mailto:jburr@oda.state.or.us","John Burr")</f>
        <v>John Burr</v>
      </c>
      <c r="O13" s="15" t="str">
        <f>HYPERLINK("mailto:Katey.Kennedy@fda.hhs.gov","Kathryn Kennedy")</f>
        <v>Kathryn Kennedy</v>
      </c>
    </row>
    <row r="14" spans="1:15" ht="30" x14ac:dyDescent="0.25">
      <c r="A14" s="6" t="str">
        <f>HYPERLINK("http://oregon.gov/ODA/FSD/","Oregon Department of Health and Human Services")</f>
        <v>Oregon Department of Health and Human Services</v>
      </c>
      <c r="B14" s="7">
        <v>37160</v>
      </c>
      <c r="C14" s="8">
        <v>1</v>
      </c>
      <c r="D14" s="7">
        <v>37469</v>
      </c>
      <c r="E14" s="8"/>
      <c r="F14" s="8"/>
      <c r="G14" s="8"/>
      <c r="H14" s="8"/>
      <c r="I14" s="8"/>
      <c r="J14" s="8"/>
      <c r="K14" s="8" t="s">
        <v>1382</v>
      </c>
      <c r="L14" s="8"/>
      <c r="M14" s="8" t="s">
        <v>1382</v>
      </c>
      <c r="N14" s="9" t="str">
        <f>HYPERLINK("mailto:brett.w.sherry@state.or.us","Brett Sherry")</f>
        <v>Brett Sherry</v>
      </c>
      <c r="O14" s="10" t="str">
        <f>HYPERLINK("mailto:Katey.Kennedy@fda.hhs.gov","Kathryn Kennedy")</f>
        <v>Kathryn Kennedy</v>
      </c>
    </row>
    <row r="15" spans="1:15" ht="30" x14ac:dyDescent="0.25">
      <c r="A15" s="6" t="str">
        <f>HYPERLINK("http://oregon.gov/ODA/FSD/","Oregon Department of Health and Human Services")</f>
        <v>Oregon Department of Health and Human Services</v>
      </c>
      <c r="B15" s="7">
        <v>37160</v>
      </c>
      <c r="C15" s="8">
        <v>2</v>
      </c>
      <c r="D15" s="7">
        <v>40051</v>
      </c>
      <c r="E15" s="8"/>
      <c r="F15" s="8" t="s">
        <v>108</v>
      </c>
      <c r="G15" s="8" t="s">
        <v>1383</v>
      </c>
      <c r="H15" s="8" t="s">
        <v>1383</v>
      </c>
      <c r="I15" s="8"/>
      <c r="J15" s="8" t="s">
        <v>1383</v>
      </c>
      <c r="K15" s="8" t="s">
        <v>1383</v>
      </c>
      <c r="L15" s="8"/>
      <c r="M15" s="8" t="s">
        <v>108</v>
      </c>
      <c r="N15" s="9" t="str">
        <f>HYPERLINK("mailto:brett.w.sherry@state.or.us","Brett Sherry")</f>
        <v>Brett Sherry</v>
      </c>
      <c r="O15" s="10" t="str">
        <f>HYPERLINK("mailto:Katey.Kennedy@fda.hhs.gov","Kathryn Kennedy")</f>
        <v>Kathryn Kennedy</v>
      </c>
    </row>
    <row r="16" spans="1:15" ht="30" x14ac:dyDescent="0.25">
      <c r="A16" s="29" t="s">
        <v>1384</v>
      </c>
      <c r="B16" s="12">
        <v>37096</v>
      </c>
      <c r="C16" s="13">
        <v>1</v>
      </c>
      <c r="D16" s="12">
        <v>38226</v>
      </c>
      <c r="E16" s="13"/>
      <c r="F16" s="13"/>
      <c r="G16" s="13"/>
      <c r="H16" s="13"/>
      <c r="I16" s="13"/>
      <c r="J16" s="13"/>
      <c r="K16" s="13" t="s">
        <v>1385</v>
      </c>
      <c r="L16" s="13"/>
      <c r="M16" s="13"/>
      <c r="N16" s="14" t="str">
        <f>HYPERLINK("mailto:jon.kawaguchi@co.washington.or.us","Jon Kawaguchi")</f>
        <v>Jon Kawaguchi</v>
      </c>
      <c r="O16" s="15" t="str">
        <f>HYPERLINK("mailto:Katey.Kennedy@fda.hhs.gov","Kathryn Kennedy")</f>
        <v>Kathryn Kennedy</v>
      </c>
    </row>
    <row r="17" spans="1:15" ht="30" x14ac:dyDescent="0.25">
      <c r="A17" s="30" t="s">
        <v>1384</v>
      </c>
      <c r="B17" s="23">
        <v>37096</v>
      </c>
      <c r="C17" s="24">
        <v>2</v>
      </c>
      <c r="D17" s="23">
        <v>41058</v>
      </c>
      <c r="E17" s="24"/>
      <c r="F17" s="24"/>
      <c r="G17" s="24" t="s">
        <v>1386</v>
      </c>
      <c r="H17" s="24" t="s">
        <v>417</v>
      </c>
      <c r="I17" s="24"/>
      <c r="J17" s="24"/>
      <c r="K17" s="24"/>
      <c r="L17" s="24"/>
      <c r="M17" s="24" t="s">
        <v>1386</v>
      </c>
      <c r="N17" s="25" t="str">
        <f>HYPERLINK("mailto:jon.kawaguchi@co.washington.or.us","Jon Kawaguchi")</f>
        <v>Jon Kawaguchi</v>
      </c>
      <c r="O17" s="26" t="str">
        <f>HYPERLINK("mailto:Katey.Kennedy@fda.hhs.gov","Kathryn Kennedy")</f>
        <v>Kathryn Kennedy</v>
      </c>
    </row>
  </sheetData>
  <pageMargins left="0.15" right="0.15" top="0.25" bottom="0.25" header="0.05" footer="0.05"/>
  <pageSetup orientation="landscape" r:id="rId1"/>
  <tableParts count="1">
    <tablePart r:id="rId2"/>
  </tablePart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862F6-9EE4-4D3E-834F-9FC7CD0995A9}">
  <sheetPr>
    <pageSetUpPr fitToPage="1"/>
  </sheetPr>
  <dimension ref="A1:O10"/>
  <sheetViews>
    <sheetView workbookViewId="0"/>
  </sheetViews>
  <sheetFormatPr defaultRowHeight="15" x14ac:dyDescent="0.25"/>
  <cols>
    <col min="1" max="1" width="33.7109375" customWidth="1"/>
    <col min="2" max="2" width="14.85546875" customWidth="1"/>
    <col min="3" max="3" width="18.42578125" customWidth="1"/>
    <col min="4" max="4" width="22" customWidth="1"/>
    <col min="5" max="13" width="17.28515625" customWidth="1"/>
    <col min="14" max="14" width="14.85546875" customWidth="1"/>
    <col min="15" max="15" width="13.140625" customWidth="1"/>
  </cols>
  <sheetData>
    <row r="1" spans="1:15" x14ac:dyDescent="0.25">
      <c r="A1" t="s">
        <v>1399</v>
      </c>
      <c r="B1" s="2" t="str">
        <f>HYPERLINK("#Introduction!A1","Back to Introduction Page")</f>
        <v>Back to Introduction Page</v>
      </c>
    </row>
    <row r="2" spans="1:15" x14ac:dyDescent="0.25">
      <c r="A2" s="21" t="s">
        <v>1400</v>
      </c>
    </row>
    <row r="3" spans="1:15" ht="45" x14ac:dyDescent="0.25">
      <c r="A3" s="4" t="s">
        <v>15</v>
      </c>
      <c r="B3" s="3" t="s">
        <v>16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21</v>
      </c>
      <c r="H3" s="3" t="s">
        <v>22</v>
      </c>
      <c r="I3" s="3" t="s">
        <v>23</v>
      </c>
      <c r="J3" s="3" t="s">
        <v>24</v>
      </c>
      <c r="K3" s="3" t="s">
        <v>25</v>
      </c>
      <c r="L3" s="3" t="s">
        <v>26</v>
      </c>
      <c r="M3" s="3" t="s">
        <v>27</v>
      </c>
      <c r="N3" s="3" t="s">
        <v>28</v>
      </c>
      <c r="O3" s="5" t="s">
        <v>29</v>
      </c>
    </row>
    <row r="4" spans="1:15" ht="30" x14ac:dyDescent="0.25">
      <c r="A4" s="6" t="str">
        <f>HYPERLINK("http://www.achd.net/mainstart.html","Allegheny County Health Department")</f>
        <v>Allegheny County Health Department</v>
      </c>
      <c r="B4" s="7">
        <v>37215</v>
      </c>
      <c r="C4" s="8">
        <v>1</v>
      </c>
      <c r="D4" s="7">
        <v>38897</v>
      </c>
      <c r="E4" s="8"/>
      <c r="F4" s="8"/>
      <c r="G4" s="8"/>
      <c r="H4" s="8"/>
      <c r="I4" s="8"/>
      <c r="J4" s="8"/>
      <c r="K4" s="8" t="s">
        <v>1389</v>
      </c>
      <c r="L4" s="8"/>
      <c r="M4" s="8"/>
      <c r="N4" s="9" t="str">
        <f>HYPERLINK("mailto:DScharding@@achd.net","Donna Scharding")</f>
        <v>Donna Scharding</v>
      </c>
      <c r="O4" s="10" t="str">
        <f>HYPERLINK("mailto:Thomas.Nerney@fda.hhs.gov","Thomas Nerney")</f>
        <v>Thomas Nerney</v>
      </c>
    </row>
    <row r="5" spans="1:15" ht="30" x14ac:dyDescent="0.25">
      <c r="A5" s="11" t="str">
        <f>HYPERLINK("https://www.allentownpa.gov/Health-Bureau","City of Allentown Bureau of Health")</f>
        <v>City of Allentown Bureau of Health</v>
      </c>
      <c r="B5" s="12">
        <v>41669</v>
      </c>
      <c r="C5" s="13">
        <v>1</v>
      </c>
      <c r="D5" s="12">
        <v>41869</v>
      </c>
      <c r="E5" s="13" t="s">
        <v>1390</v>
      </c>
      <c r="F5" s="13"/>
      <c r="G5" s="13"/>
      <c r="H5" s="13"/>
      <c r="I5" s="13"/>
      <c r="J5" s="13"/>
      <c r="K5" s="13"/>
      <c r="L5" s="13"/>
      <c r="M5" s="13"/>
      <c r="N5" s="14" t="str">
        <f>HYPERLINK("mailto:Gary.Ritter@allentownpa.gov","Gary Ritter")</f>
        <v>Gary Ritter</v>
      </c>
      <c r="O5" s="15" t="str">
        <f>HYPERLINK("mailto:Thomas.Nerney@fda.hhs.gov","Thomas Nerney")</f>
        <v>Thomas Nerney</v>
      </c>
    </row>
    <row r="6" spans="1:15" ht="30" x14ac:dyDescent="0.25">
      <c r="A6" s="6" t="str">
        <f>HYPERLINK("http://www.bethlehem-pa.gov/health/index.htm","City of Bethlehem Health Department")</f>
        <v>City of Bethlehem Health Department</v>
      </c>
      <c r="B6" s="7">
        <v>39727</v>
      </c>
      <c r="C6" s="8">
        <v>1</v>
      </c>
      <c r="D6" s="7">
        <v>42059</v>
      </c>
      <c r="E6" s="8" t="s">
        <v>1391</v>
      </c>
      <c r="F6" s="8" t="s">
        <v>1392</v>
      </c>
      <c r="G6" s="8" t="s">
        <v>1391</v>
      </c>
      <c r="H6" s="8"/>
      <c r="I6" s="8"/>
      <c r="J6" s="8"/>
      <c r="K6" s="8"/>
      <c r="L6" s="8"/>
      <c r="M6" s="8"/>
      <c r="N6" s="9" t="str">
        <f>HYPERLINK("mailto:jlucas@bethlehem-pa.gov","Jessica L. Lucas")</f>
        <v>Jessica L. Lucas</v>
      </c>
      <c r="O6" s="10" t="str">
        <f>HYPERLINK("mailto:Thomas.Nerney@fda.hhs.gov","Thomas Nerney")</f>
        <v>Thomas Nerney</v>
      </c>
    </row>
    <row r="7" spans="1:15" ht="30" x14ac:dyDescent="0.25">
      <c r="A7" s="29" t="s">
        <v>1393</v>
      </c>
      <c r="B7" s="12">
        <v>37531</v>
      </c>
      <c r="C7" s="13">
        <v>1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4" t="str">
        <f>HYPERLINK("mailto:plawn@montcopa.org","Pam Lawn")</f>
        <v>Pam Lawn</v>
      </c>
      <c r="O7" s="15" t="str">
        <f>HYPERLINK("mailto:Thomas.Nerney@fda.hhs.gov","Thomas Nerney")</f>
        <v>Thomas Nerney</v>
      </c>
    </row>
    <row r="8" spans="1:15" ht="30" x14ac:dyDescent="0.25">
      <c r="A8" s="6" t="str">
        <f>HYPERLINK("http://eatsafepa.com/","Pennsylvania Department of Agriculture")</f>
        <v>Pennsylvania Department of Agriculture</v>
      </c>
      <c r="B8" s="7">
        <v>38294</v>
      </c>
      <c r="C8" s="8">
        <v>1</v>
      </c>
      <c r="D8" s="7">
        <v>41080</v>
      </c>
      <c r="E8" s="8" t="s">
        <v>1394</v>
      </c>
      <c r="F8" s="8"/>
      <c r="G8" s="8" t="s">
        <v>1395</v>
      </c>
      <c r="H8" s="8"/>
      <c r="I8" s="8"/>
      <c r="J8" s="8"/>
      <c r="K8" s="8" t="s">
        <v>1395</v>
      </c>
      <c r="L8" s="8"/>
      <c r="M8" s="8"/>
      <c r="N8" s="9" t="str">
        <f>HYPERLINK("mailto:shmorris@pa.gov","Sheri Morris")</f>
        <v>Sheri Morris</v>
      </c>
      <c r="O8" s="10" t="str">
        <f>HYPERLINK("mailto:Thomas.Nerney@fda.hhs.gov","Thomas Nerney")</f>
        <v>Thomas Nerney</v>
      </c>
    </row>
    <row r="9" spans="1:15" ht="30" x14ac:dyDescent="0.25">
      <c r="A9" s="6" t="str">
        <f>HYPERLINK("http://eatsafepa.com/","Pennsylvania Department of Agriculture")</f>
        <v>Pennsylvania Department of Agriculture</v>
      </c>
      <c r="B9" s="7">
        <v>38294</v>
      </c>
      <c r="C9" s="8">
        <v>2</v>
      </c>
      <c r="D9" s="7">
        <v>42522</v>
      </c>
      <c r="E9" s="8" t="s">
        <v>1396</v>
      </c>
      <c r="F9" s="8"/>
      <c r="G9" s="8" t="s">
        <v>1396</v>
      </c>
      <c r="H9" s="8"/>
      <c r="I9" s="8"/>
      <c r="J9" s="8"/>
      <c r="K9" s="8" t="s">
        <v>1396</v>
      </c>
      <c r="L9" s="8"/>
      <c r="M9" s="8"/>
      <c r="N9" s="9" t="str">
        <f>HYPERLINK("mailto:shmorris@pa.gov","Sheri Morris")</f>
        <v>Sheri Morris</v>
      </c>
      <c r="O9" s="10" t="str">
        <f>HYPERLINK("mailto:Thomas.Nerney@fda.hhs.gov","Thomas Nerney")</f>
        <v>Thomas Nerney</v>
      </c>
    </row>
    <row r="10" spans="1:15" ht="30" x14ac:dyDescent="0.25">
      <c r="A10" s="30" t="s">
        <v>1397</v>
      </c>
      <c r="B10" s="23">
        <v>38897</v>
      </c>
      <c r="C10" s="24">
        <v>1</v>
      </c>
      <c r="D10" s="23">
        <v>39260</v>
      </c>
      <c r="E10" s="24"/>
      <c r="F10" s="24" t="s">
        <v>1398</v>
      </c>
      <c r="G10" s="24"/>
      <c r="H10" s="24"/>
      <c r="I10" s="24"/>
      <c r="J10" s="24"/>
      <c r="K10" s="24" t="s">
        <v>1398</v>
      </c>
      <c r="L10" s="24"/>
      <c r="M10" s="24"/>
      <c r="N10" s="25" t="str">
        <f>HYPERLINK("mailto:LeighAnne.Rainford@phila.gov","Leigh Anne Rainford")</f>
        <v>Leigh Anne Rainford</v>
      </c>
      <c r="O10" s="26" t="str">
        <f>HYPERLINK("mailto:Thomas.Nerney@fda.hhs.gov","Thomas Nerney")</f>
        <v>Thomas Nerney</v>
      </c>
    </row>
  </sheetData>
  <pageMargins left="0.15" right="0.15" top="0.25" bottom="0.25" header="0.05" footer="0.05"/>
  <pageSetup orientation="landscape" r:id="rId1"/>
  <tableParts count="1">
    <tablePart r:id="rId2"/>
  </tablePart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4FDAD-5EAF-4F69-9B9E-233DC0AF7C59}">
  <sheetPr>
    <pageSetUpPr fitToPage="1"/>
  </sheetPr>
  <dimension ref="A1:O5"/>
  <sheetViews>
    <sheetView workbookViewId="0"/>
  </sheetViews>
  <sheetFormatPr defaultRowHeight="15" x14ac:dyDescent="0.25"/>
  <cols>
    <col min="1" max="1" width="33.7109375" customWidth="1"/>
    <col min="2" max="2" width="14.85546875" customWidth="1"/>
    <col min="3" max="3" width="18.42578125" customWidth="1"/>
    <col min="4" max="4" width="22" customWidth="1"/>
    <col min="5" max="13" width="17.28515625" customWidth="1"/>
    <col min="14" max="14" width="14.85546875" customWidth="1"/>
    <col min="15" max="15" width="13.140625" customWidth="1"/>
  </cols>
  <sheetData>
    <row r="1" spans="1:15" x14ac:dyDescent="0.25">
      <c r="A1" t="s">
        <v>1406</v>
      </c>
      <c r="B1" s="2" t="str">
        <f>HYPERLINK("#Introduction!A1","Back to Introduction Page")</f>
        <v>Back to Introduction Page</v>
      </c>
    </row>
    <row r="2" spans="1:15" x14ac:dyDescent="0.25">
      <c r="A2" s="21" t="s">
        <v>1407</v>
      </c>
    </row>
    <row r="3" spans="1:15" ht="45" x14ac:dyDescent="0.25">
      <c r="A3" s="4" t="s">
        <v>15</v>
      </c>
      <c r="B3" s="3" t="s">
        <v>16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21</v>
      </c>
      <c r="H3" s="3" t="s">
        <v>22</v>
      </c>
      <c r="I3" s="3" t="s">
        <v>23</v>
      </c>
      <c r="J3" s="3" t="s">
        <v>24</v>
      </c>
      <c r="K3" s="3" t="s">
        <v>25</v>
      </c>
      <c r="L3" s="3" t="s">
        <v>26</v>
      </c>
      <c r="M3" s="3" t="s">
        <v>27</v>
      </c>
      <c r="N3" s="3" t="s">
        <v>28</v>
      </c>
      <c r="O3" s="5" t="s">
        <v>29</v>
      </c>
    </row>
    <row r="4" spans="1:15" ht="30" x14ac:dyDescent="0.25">
      <c r="A4" s="28" t="s">
        <v>1401</v>
      </c>
      <c r="B4" s="7">
        <v>38952</v>
      </c>
      <c r="C4" s="8">
        <v>1</v>
      </c>
      <c r="D4" s="7">
        <v>39353</v>
      </c>
      <c r="E4" s="8" t="s">
        <v>1402</v>
      </c>
      <c r="F4" s="8"/>
      <c r="G4" s="8"/>
      <c r="H4" s="8"/>
      <c r="I4" s="8"/>
      <c r="J4" s="8"/>
      <c r="K4" s="8" t="s">
        <v>1402</v>
      </c>
      <c r="L4" s="8"/>
      <c r="M4" s="8"/>
      <c r="N4" s="8"/>
      <c r="O4" s="10" t="str">
        <f>HYPERLINK("mailto:Joseph.Redditt@fda.hhs.gov","Dan Redditt")</f>
        <v>Dan Redditt</v>
      </c>
    </row>
    <row r="5" spans="1:15" ht="30" x14ac:dyDescent="0.25">
      <c r="A5" s="27" t="s">
        <v>1401</v>
      </c>
      <c r="B5" s="17">
        <v>38952</v>
      </c>
      <c r="C5" s="18">
        <v>2</v>
      </c>
      <c r="D5" s="17">
        <v>39961</v>
      </c>
      <c r="E5" s="18" t="s">
        <v>1403</v>
      </c>
      <c r="F5" s="18"/>
      <c r="G5" s="18" t="s">
        <v>1404</v>
      </c>
      <c r="H5" s="18"/>
      <c r="I5" s="18"/>
      <c r="J5" s="18"/>
      <c r="K5" s="18" t="s">
        <v>1405</v>
      </c>
      <c r="L5" s="18"/>
      <c r="M5" s="18"/>
      <c r="N5" s="18"/>
      <c r="O5" s="20" t="str">
        <f>HYPERLINK("mailto:Joseph.Redditt@fda.hhs.gov","Dan Redditt")</f>
        <v>Dan Redditt</v>
      </c>
    </row>
  </sheetData>
  <pageMargins left="0.15" right="0.15" top="0.25" bottom="0.25" header="0.05" footer="0.05"/>
  <pageSetup orientation="landscape" r:id="rId1"/>
  <tableParts count="1">
    <tablePart r:id="rId2"/>
  </tablePart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8962B-322D-476F-AD9D-162403F38FE1}">
  <sheetPr>
    <pageSetUpPr fitToPage="1"/>
  </sheetPr>
  <dimension ref="A1:O6"/>
  <sheetViews>
    <sheetView workbookViewId="0"/>
  </sheetViews>
  <sheetFormatPr defaultRowHeight="15" x14ac:dyDescent="0.25"/>
  <cols>
    <col min="1" max="1" width="33.7109375" customWidth="1"/>
    <col min="2" max="2" width="14.85546875" customWidth="1"/>
    <col min="3" max="3" width="18.42578125" customWidth="1"/>
    <col min="4" max="4" width="22" customWidth="1"/>
    <col min="5" max="13" width="17.28515625" customWidth="1"/>
    <col min="14" max="14" width="14.85546875" customWidth="1"/>
    <col min="15" max="15" width="13.140625" customWidth="1"/>
  </cols>
  <sheetData>
    <row r="1" spans="1:15" x14ac:dyDescent="0.25">
      <c r="A1" t="s">
        <v>1413</v>
      </c>
      <c r="B1" s="2" t="str">
        <f>HYPERLINK("#Introduction!A1","Back to Introduction Page")</f>
        <v>Back to Introduction Page</v>
      </c>
    </row>
    <row r="2" spans="1:15" x14ac:dyDescent="0.25">
      <c r="A2" s="21" t="s">
        <v>1414</v>
      </c>
    </row>
    <row r="3" spans="1:15" ht="45" x14ac:dyDescent="0.25">
      <c r="A3" s="4" t="s">
        <v>15</v>
      </c>
      <c r="B3" s="3" t="s">
        <v>16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21</v>
      </c>
      <c r="H3" s="3" t="s">
        <v>22</v>
      </c>
      <c r="I3" s="3" t="s">
        <v>23</v>
      </c>
      <c r="J3" s="3" t="s">
        <v>24</v>
      </c>
      <c r="K3" s="3" t="s">
        <v>25</v>
      </c>
      <c r="L3" s="3" t="s">
        <v>26</v>
      </c>
      <c r="M3" s="3" t="s">
        <v>27</v>
      </c>
      <c r="N3" s="3" t="s">
        <v>28</v>
      </c>
      <c r="O3" s="5" t="s">
        <v>29</v>
      </c>
    </row>
    <row r="4" spans="1:15" ht="30" x14ac:dyDescent="0.25">
      <c r="A4" s="6" t="str">
        <f>HYPERLINK("http://www.health.state.ri.us","Rhode Island Department of Health")</f>
        <v>Rhode Island Department of Health</v>
      </c>
      <c r="B4" s="7">
        <v>37847</v>
      </c>
      <c r="C4" s="8">
        <v>1</v>
      </c>
      <c r="D4" s="7">
        <v>38200</v>
      </c>
      <c r="E4" s="8"/>
      <c r="F4" s="8"/>
      <c r="G4" s="8"/>
      <c r="H4" s="8"/>
      <c r="I4" s="8"/>
      <c r="J4" s="8"/>
      <c r="K4" s="8" t="s">
        <v>1408</v>
      </c>
      <c r="L4" s="8"/>
      <c r="M4" s="8"/>
      <c r="N4" s="9" t="str">
        <f>HYPERLINK("mailto:catherine.feeney@health.ri.gov","Catherine Payne-Feene")</f>
        <v>Catherine Payne-Feene</v>
      </c>
      <c r="O4" s="10" t="str">
        <f>HYPERLINK("mailto:Thomas.Nerney@fda.hhs.gov","Thomas Nerney")</f>
        <v>Thomas Nerney</v>
      </c>
    </row>
    <row r="5" spans="1:15" ht="30" x14ac:dyDescent="0.25">
      <c r="A5" s="6" t="str">
        <f>HYPERLINK("http://www.health.state.ri.us","Rhode Island Department of Health")</f>
        <v>Rhode Island Department of Health</v>
      </c>
      <c r="B5" s="7">
        <v>37847</v>
      </c>
      <c r="C5" s="8">
        <v>2</v>
      </c>
      <c r="D5" s="7">
        <v>41074</v>
      </c>
      <c r="E5" s="8" t="s">
        <v>1409</v>
      </c>
      <c r="F5" s="8"/>
      <c r="G5" s="8"/>
      <c r="H5" s="8"/>
      <c r="I5" s="8"/>
      <c r="J5" s="8"/>
      <c r="K5" s="8" t="s">
        <v>1409</v>
      </c>
      <c r="L5" s="8"/>
      <c r="M5" s="8"/>
      <c r="N5" s="9" t="str">
        <f>HYPERLINK("mailto:catherine.feeney@health.ri.gov","Catherine Payne-Feene")</f>
        <v>Catherine Payne-Feene</v>
      </c>
      <c r="O5" s="10" t="str">
        <f>HYPERLINK("mailto:Thomas.Nerney@fda.hhs.gov","Thomas Nerney")</f>
        <v>Thomas Nerney</v>
      </c>
    </row>
    <row r="6" spans="1:15" ht="30" x14ac:dyDescent="0.25">
      <c r="A6" s="16" t="str">
        <f>HYPERLINK("http://www.health.state.ri.us","Rhode Island Department of Health")</f>
        <v>Rhode Island Department of Health</v>
      </c>
      <c r="B6" s="17">
        <v>37847</v>
      </c>
      <c r="C6" s="18">
        <v>3</v>
      </c>
      <c r="D6" s="17">
        <v>42592</v>
      </c>
      <c r="E6" s="18"/>
      <c r="F6" s="18"/>
      <c r="G6" s="18"/>
      <c r="H6" s="18"/>
      <c r="I6" s="18" t="s">
        <v>1410</v>
      </c>
      <c r="J6" s="18" t="s">
        <v>1411</v>
      </c>
      <c r="K6" s="18" t="s">
        <v>1411</v>
      </c>
      <c r="L6" s="18"/>
      <c r="M6" s="18"/>
      <c r="N6" s="18" t="s">
        <v>1412</v>
      </c>
      <c r="O6" s="20" t="str">
        <f>HYPERLINK("mailto:Thomas.Nerney@fda.hhs.gov","Thomas Nerney")</f>
        <v>Thomas Nerney</v>
      </c>
    </row>
  </sheetData>
  <pageMargins left="0.15" right="0.15" top="0.25" bottom="0.25" header="0.05" footer="0.05"/>
  <pageSetup orientation="landscape" r:id="rId1"/>
  <tableParts count="1">
    <tablePart r:id="rId2"/>
  </tablePart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13AE3-B99E-430B-AE3D-97463B424C4A}">
  <sheetPr>
    <pageSetUpPr fitToPage="1"/>
  </sheetPr>
  <dimension ref="A1:O5"/>
  <sheetViews>
    <sheetView workbookViewId="0"/>
  </sheetViews>
  <sheetFormatPr defaultRowHeight="15" x14ac:dyDescent="0.25"/>
  <cols>
    <col min="1" max="1" width="33.7109375" customWidth="1"/>
    <col min="2" max="2" width="14.85546875" customWidth="1"/>
    <col min="3" max="3" width="18.42578125" customWidth="1"/>
    <col min="4" max="4" width="22" customWidth="1"/>
    <col min="5" max="13" width="17.28515625" customWidth="1"/>
    <col min="14" max="14" width="14.85546875" customWidth="1"/>
    <col min="15" max="15" width="13.140625" customWidth="1"/>
  </cols>
  <sheetData>
    <row r="1" spans="1:15" x14ac:dyDescent="0.25">
      <c r="A1" t="s">
        <v>1419</v>
      </c>
      <c r="B1" s="2" t="str">
        <f>HYPERLINK("#Introduction!A1","Back to Introduction Page")</f>
        <v>Back to Introduction Page</v>
      </c>
    </row>
    <row r="2" spans="1:15" x14ac:dyDescent="0.25">
      <c r="A2" s="21" t="s">
        <v>1420</v>
      </c>
    </row>
    <row r="3" spans="1:15" ht="45" x14ac:dyDescent="0.25">
      <c r="A3" s="4" t="s">
        <v>15</v>
      </c>
      <c r="B3" s="3" t="s">
        <v>16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21</v>
      </c>
      <c r="H3" s="3" t="s">
        <v>22</v>
      </c>
      <c r="I3" s="3" t="s">
        <v>23</v>
      </c>
      <c r="J3" s="3" t="s">
        <v>24</v>
      </c>
      <c r="K3" s="3" t="s">
        <v>25</v>
      </c>
      <c r="L3" s="3" t="s">
        <v>26</v>
      </c>
      <c r="M3" s="3" t="s">
        <v>27</v>
      </c>
      <c r="N3" s="3" t="s">
        <v>28</v>
      </c>
      <c r="O3" s="5" t="s">
        <v>29</v>
      </c>
    </row>
    <row r="4" spans="1:15" ht="60" x14ac:dyDescent="0.25">
      <c r="A4" s="6" t="str">
        <f>HYPERLINK("http://www.fda.gov/Food/GuidanceRegulation/RetailFoodProtection/ProgramStandards/","Division of Food Protection, Department of Health and Environmental Control (DHEC)")</f>
        <v>Division of Food Protection, Department of Health and Environmental Control (DHEC)</v>
      </c>
      <c r="B4" s="7">
        <v>39918</v>
      </c>
      <c r="C4" s="8">
        <v>1</v>
      </c>
      <c r="D4" s="7">
        <v>40115</v>
      </c>
      <c r="E4" s="8"/>
      <c r="F4" s="8"/>
      <c r="G4" s="8"/>
      <c r="H4" s="8"/>
      <c r="I4" s="8"/>
      <c r="J4" s="8"/>
      <c r="K4" s="8" t="s">
        <v>1415</v>
      </c>
      <c r="L4" s="8"/>
      <c r="M4" s="8"/>
      <c r="N4" s="9" t="str">
        <f>HYPERLINK("mailto:CRAIGSD@dhec.sc.gov","Sandra Craig")</f>
        <v>Sandra Craig</v>
      </c>
      <c r="O4" s="10" t="str">
        <f>HYPERLINK("mailto:Donna.Wanucha@fda.hhs.gov","Donna Wanucha")</f>
        <v>Donna Wanucha</v>
      </c>
    </row>
    <row r="5" spans="1:15" ht="60" x14ac:dyDescent="0.25">
      <c r="A5" s="16" t="str">
        <f>HYPERLINK("http://www.fda.gov/Food/GuidanceRegulation/RetailFoodProtection/ProgramStandards/","Division of Food Protection, Department of Health and Environmental Control (DHEC)")</f>
        <v>Division of Food Protection, Department of Health and Environmental Control (DHEC)</v>
      </c>
      <c r="B5" s="17">
        <v>39918</v>
      </c>
      <c r="C5" s="18">
        <v>2</v>
      </c>
      <c r="D5" s="17">
        <v>42194</v>
      </c>
      <c r="E5" s="18" t="s">
        <v>1416</v>
      </c>
      <c r="F5" s="18"/>
      <c r="G5" s="18" t="s">
        <v>1417</v>
      </c>
      <c r="H5" s="18"/>
      <c r="I5" s="18"/>
      <c r="J5" s="18"/>
      <c r="K5" s="18" t="s">
        <v>1418</v>
      </c>
      <c r="L5" s="18"/>
      <c r="M5" s="18"/>
      <c r="N5" s="19" t="str">
        <f>HYPERLINK("mailto:CRAIGSD@dhec.sc.gov","Sandra Craig")</f>
        <v>Sandra Craig</v>
      </c>
      <c r="O5" s="20" t="str">
        <f>HYPERLINK("mailto:Donna.Wanucha@fda.hhs.gov","Donna Wanucha")</f>
        <v>Donna Wanucha</v>
      </c>
    </row>
  </sheetData>
  <pageMargins left="0.15" right="0.15" top="0.25" bottom="0.25" header="0.05" footer="0.05"/>
  <pageSetup orientation="landscape" r:id="rId1"/>
  <tableParts count="1">
    <tablePart r:id="rId2"/>
  </tablePart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70B7C-874F-4799-9051-1D311814862B}">
  <sheetPr>
    <pageSetUpPr fitToPage="1"/>
  </sheetPr>
  <dimension ref="A1:O4"/>
  <sheetViews>
    <sheetView workbookViewId="0"/>
  </sheetViews>
  <sheetFormatPr defaultRowHeight="15" x14ac:dyDescent="0.25"/>
  <cols>
    <col min="1" max="1" width="33.7109375" customWidth="1"/>
    <col min="2" max="2" width="14.85546875" customWidth="1"/>
    <col min="3" max="3" width="18.42578125" customWidth="1"/>
    <col min="4" max="4" width="22" customWidth="1"/>
    <col min="5" max="13" width="17.28515625" customWidth="1"/>
    <col min="14" max="14" width="14.85546875" customWidth="1"/>
    <col min="15" max="15" width="13.140625" customWidth="1"/>
  </cols>
  <sheetData>
    <row r="1" spans="1:15" x14ac:dyDescent="0.25">
      <c r="A1" t="s">
        <v>1423</v>
      </c>
      <c r="B1" s="2" t="str">
        <f>HYPERLINK("#Introduction!A1","Back to Introduction Page")</f>
        <v>Back to Introduction Page</v>
      </c>
    </row>
    <row r="2" spans="1:15" x14ac:dyDescent="0.25">
      <c r="A2" s="21" t="s">
        <v>1424</v>
      </c>
    </row>
    <row r="3" spans="1:15" ht="45" x14ac:dyDescent="0.25">
      <c r="A3" s="4" t="s">
        <v>15</v>
      </c>
      <c r="B3" s="3" t="s">
        <v>16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21</v>
      </c>
      <c r="H3" s="3" t="s">
        <v>22</v>
      </c>
      <c r="I3" s="3" t="s">
        <v>23</v>
      </c>
      <c r="J3" s="3" t="s">
        <v>24</v>
      </c>
      <c r="K3" s="3" t="s">
        <v>25</v>
      </c>
      <c r="L3" s="3" t="s">
        <v>26</v>
      </c>
      <c r="M3" s="3" t="s">
        <v>27</v>
      </c>
      <c r="N3" s="3" t="s">
        <v>28</v>
      </c>
      <c r="O3" s="5" t="s">
        <v>29</v>
      </c>
    </row>
    <row r="4" spans="1:15" ht="30" x14ac:dyDescent="0.25">
      <c r="A4" s="27" t="s">
        <v>1421</v>
      </c>
      <c r="B4" s="17">
        <v>40743</v>
      </c>
      <c r="C4" s="18">
        <v>1</v>
      </c>
      <c r="D4" s="17">
        <v>41082</v>
      </c>
      <c r="E4" s="18"/>
      <c r="F4" s="18"/>
      <c r="G4" s="18"/>
      <c r="H4" s="18"/>
      <c r="I4" s="18"/>
      <c r="J4" s="18"/>
      <c r="K4" s="18"/>
      <c r="L4" s="18"/>
      <c r="M4" s="18"/>
      <c r="N4" s="18" t="s">
        <v>1422</v>
      </c>
      <c r="O4" s="20" t="str">
        <f>HYPERLINK("mailto:Greg.Abel@fda.hhs.gov","Greg Abel")</f>
        <v>Greg Abel</v>
      </c>
    </row>
  </sheetData>
  <pageMargins left="0.15" right="0.15" top="0.25" bottom="0.25" header="0.05" footer="0.05"/>
  <pageSetup orientation="landscape" r:id="rId1"/>
  <tableParts count="1">
    <tablePart r:id="rId2"/>
  </tablePart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37A27-3120-450C-8E52-0A75B8D2D0E3}">
  <sheetPr>
    <pageSetUpPr fitToPage="1"/>
  </sheetPr>
  <dimension ref="A1:O16"/>
  <sheetViews>
    <sheetView workbookViewId="0"/>
  </sheetViews>
  <sheetFormatPr defaultRowHeight="15" x14ac:dyDescent="0.25"/>
  <cols>
    <col min="1" max="1" width="33.7109375" customWidth="1"/>
    <col min="2" max="2" width="14.85546875" customWidth="1"/>
    <col min="3" max="3" width="18.42578125" customWidth="1"/>
    <col min="4" max="4" width="22" customWidth="1"/>
    <col min="5" max="13" width="17.28515625" customWidth="1"/>
    <col min="14" max="14" width="14.85546875" customWidth="1"/>
    <col min="15" max="15" width="13.140625" customWidth="1"/>
  </cols>
  <sheetData>
    <row r="1" spans="1:15" x14ac:dyDescent="0.25">
      <c r="A1" t="s">
        <v>1444</v>
      </c>
      <c r="B1" s="2" t="str">
        <f>HYPERLINK("#Introduction!A1","Back to Introduction Page")</f>
        <v>Back to Introduction Page</v>
      </c>
    </row>
    <row r="2" spans="1:15" x14ac:dyDescent="0.25">
      <c r="A2" s="21" t="s">
        <v>1445</v>
      </c>
    </row>
    <row r="3" spans="1:15" ht="45" x14ac:dyDescent="0.25">
      <c r="A3" s="4" t="s">
        <v>15</v>
      </c>
      <c r="B3" s="3" t="s">
        <v>16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21</v>
      </c>
      <c r="H3" s="3" t="s">
        <v>22</v>
      </c>
      <c r="I3" s="3" t="s">
        <v>23</v>
      </c>
      <c r="J3" s="3" t="s">
        <v>24</v>
      </c>
      <c r="K3" s="3" t="s">
        <v>25</v>
      </c>
      <c r="L3" s="3" t="s">
        <v>26</v>
      </c>
      <c r="M3" s="3" t="s">
        <v>27</v>
      </c>
      <c r="N3" s="3" t="s">
        <v>28</v>
      </c>
      <c r="O3" s="5" t="s">
        <v>29</v>
      </c>
    </row>
    <row r="4" spans="1:15" ht="30" x14ac:dyDescent="0.25">
      <c r="A4" s="28" t="s">
        <v>1425</v>
      </c>
      <c r="B4" s="7">
        <v>39093</v>
      </c>
      <c r="C4" s="8">
        <v>1</v>
      </c>
      <c r="D4" s="7">
        <v>41509</v>
      </c>
      <c r="E4" s="8"/>
      <c r="F4" s="8"/>
      <c r="G4" s="8"/>
      <c r="H4" s="8"/>
      <c r="I4" s="8"/>
      <c r="J4" s="8"/>
      <c r="K4" s="8"/>
      <c r="L4" s="8"/>
      <c r="M4" s="8"/>
      <c r="N4" s="9" t="str">
        <f>HYPERLINK("mailto:lowew@hamiltontn.gov","Lowe Wilkins")</f>
        <v>Lowe Wilkins</v>
      </c>
      <c r="O4" s="10" t="str">
        <f>HYPERLINK("mailto:Joseph.Redditt@fda.hhs.gov","Dan Redditt")</f>
        <v>Dan Redditt</v>
      </c>
    </row>
    <row r="5" spans="1:15" ht="30" x14ac:dyDescent="0.25">
      <c r="A5" s="28" t="s">
        <v>1425</v>
      </c>
      <c r="B5" s="7">
        <v>39093</v>
      </c>
      <c r="C5" s="8">
        <v>2</v>
      </c>
      <c r="D5" s="7">
        <v>42613</v>
      </c>
      <c r="E5" s="8" t="s">
        <v>1426</v>
      </c>
      <c r="F5" s="8" t="s">
        <v>1426</v>
      </c>
      <c r="G5" s="8" t="s">
        <v>1426</v>
      </c>
      <c r="H5" s="8"/>
      <c r="I5" s="8"/>
      <c r="J5" s="8"/>
      <c r="K5" s="8" t="s">
        <v>1427</v>
      </c>
      <c r="L5" s="8"/>
      <c r="M5" s="8"/>
      <c r="N5" s="9" t="str">
        <f>HYPERLINK("mailto:lowew@hamiltontn.gov","Lowe Wilkins")</f>
        <v>Lowe Wilkins</v>
      </c>
      <c r="O5" s="10" t="str">
        <f>HYPERLINK("mailto:Joseph.Redditt@fda.hhs.gov","Dan Redditt")</f>
        <v>Dan Redditt</v>
      </c>
    </row>
    <row r="6" spans="1:15" ht="30" x14ac:dyDescent="0.25">
      <c r="A6" s="11" t="str">
        <f>HYPERLINK("http://co.madison.tn.us/","Jackson/Madison County Regional Health Department")</f>
        <v>Jackson/Madison County Regional Health Department</v>
      </c>
      <c r="B6" s="12">
        <v>42249</v>
      </c>
      <c r="C6" s="13">
        <v>1</v>
      </c>
      <c r="D6" s="12">
        <v>42614</v>
      </c>
      <c r="E6" s="13" t="s">
        <v>1428</v>
      </c>
      <c r="F6" s="13" t="s">
        <v>1428</v>
      </c>
      <c r="G6" s="13" t="s">
        <v>1428</v>
      </c>
      <c r="H6" s="13"/>
      <c r="I6" s="13"/>
      <c r="J6" s="13"/>
      <c r="K6" s="13" t="s">
        <v>1428</v>
      </c>
      <c r="L6" s="13"/>
      <c r="M6" s="13"/>
      <c r="N6" s="14" t="str">
        <f>HYPERLINK("mailto:coverstreet@jmchd.comi","Candy Overstreet")</f>
        <v>Candy Overstreet</v>
      </c>
      <c r="O6" s="15" t="str">
        <f>HYPERLINK("mailto:Joseph.Redditt@fda.hhs.gov","Dan Redditt")</f>
        <v>Dan Redditt</v>
      </c>
    </row>
    <row r="7" spans="1:15" ht="30" x14ac:dyDescent="0.25">
      <c r="A7" s="28" t="s">
        <v>1429</v>
      </c>
      <c r="B7" s="7">
        <v>38972</v>
      </c>
      <c r="C7" s="8">
        <v>1</v>
      </c>
      <c r="D7" s="7">
        <v>40302</v>
      </c>
      <c r="E7" s="8"/>
      <c r="F7" s="8"/>
      <c r="G7" s="8"/>
      <c r="H7" s="8"/>
      <c r="I7" s="8"/>
      <c r="J7" s="8"/>
      <c r="K7" s="8"/>
      <c r="L7" s="8"/>
      <c r="M7" s="8"/>
      <c r="N7" s="9" t="str">
        <f>HYPERLINK("mailto:Kevin.Clark@knoxcounty.org","Kevin Clark")</f>
        <v>Kevin Clark</v>
      </c>
      <c r="O7" s="10" t="str">
        <f>HYPERLINK("mailto:Joseph.Redditt@fda.hhs.gov","Dan Redditt")</f>
        <v>Dan Redditt</v>
      </c>
    </row>
    <row r="8" spans="1:15" ht="30" x14ac:dyDescent="0.25">
      <c r="A8" s="28" t="s">
        <v>1429</v>
      </c>
      <c r="B8" s="7">
        <v>38972</v>
      </c>
      <c r="C8" s="8">
        <v>2</v>
      </c>
      <c r="D8" s="7">
        <v>42613</v>
      </c>
      <c r="E8" s="8" t="s">
        <v>1430</v>
      </c>
      <c r="F8" s="8" t="s">
        <v>1431</v>
      </c>
      <c r="G8" s="8" t="s">
        <v>1432</v>
      </c>
      <c r="H8" s="8"/>
      <c r="I8" s="8"/>
      <c r="J8" s="8"/>
      <c r="K8" s="8" t="s">
        <v>1433</v>
      </c>
      <c r="L8" s="8"/>
      <c r="M8" s="8"/>
      <c r="N8" s="9" t="str">
        <f>HYPERLINK("mailto:Kevin.Clark@knoxcounty.org","Kevin Clark")</f>
        <v>Kevin Clark</v>
      </c>
      <c r="O8" s="10" t="str">
        <f>HYPERLINK("mailto:Joseph.Redditt@fda.hhs.gov","Dan Redditt")</f>
        <v>Dan Redditt</v>
      </c>
    </row>
    <row r="9" spans="1:15" ht="30" x14ac:dyDescent="0.25">
      <c r="A9" s="11" t="str">
        <f>HYPERLINK("http://health.nashville.gov/ENV/Default.htm","Metro Nashville Public Health Department")</f>
        <v>Metro Nashville Public Health Department</v>
      </c>
      <c r="B9" s="12">
        <v>37327</v>
      </c>
      <c r="C9" s="13">
        <v>1</v>
      </c>
      <c r="D9" s="12">
        <v>37680</v>
      </c>
      <c r="E9" s="13"/>
      <c r="F9" s="13"/>
      <c r="G9" s="13"/>
      <c r="H9" s="13"/>
      <c r="I9" s="13" t="s">
        <v>1434</v>
      </c>
      <c r="J9" s="13"/>
      <c r="K9" s="13" t="s">
        <v>1434</v>
      </c>
      <c r="L9" s="13"/>
      <c r="M9" s="13"/>
      <c r="N9" s="14" t="str">
        <f>HYPERLINK("mailto:steve.crosier@nashville.gov","Steve Crosier")</f>
        <v>Steve Crosier</v>
      </c>
      <c r="O9" s="15" t="str">
        <f>HYPERLINK("mailto:Joseph.Redditt@fda.hhs.gov","Dan Redditt")</f>
        <v>Dan Redditt</v>
      </c>
    </row>
    <row r="10" spans="1:15" ht="30" x14ac:dyDescent="0.25">
      <c r="A10" s="11" t="str">
        <f>HYPERLINK("http://health.nashville.gov/ENV/Default.htm","Metro Nashville Public Health Department")</f>
        <v>Metro Nashville Public Health Department</v>
      </c>
      <c r="B10" s="12">
        <v>37327</v>
      </c>
      <c r="C10" s="13">
        <v>2</v>
      </c>
      <c r="D10" s="12">
        <v>41271</v>
      </c>
      <c r="E10" s="13"/>
      <c r="F10" s="13"/>
      <c r="G10" s="13"/>
      <c r="H10" s="13"/>
      <c r="I10" s="13" t="s">
        <v>1435</v>
      </c>
      <c r="J10" s="13"/>
      <c r="K10" s="13"/>
      <c r="L10" s="13"/>
      <c r="M10" s="13"/>
      <c r="N10" s="14" t="str">
        <f>HYPERLINK("mailto:steve.crosier@nashville.gov","Steve Crosier")</f>
        <v>Steve Crosier</v>
      </c>
      <c r="O10" s="15" t="str">
        <f>HYPERLINK("mailto:Joseph.Redditt@fda.hhs.gov","Dan Redditt")</f>
        <v>Dan Redditt</v>
      </c>
    </row>
    <row r="11" spans="1:15" ht="30" x14ac:dyDescent="0.25">
      <c r="A11" s="11" t="str">
        <f>HYPERLINK("http://health.nashville.gov/ENV/Default.htm","Metro Nashville Public Health Department")</f>
        <v>Metro Nashville Public Health Department</v>
      </c>
      <c r="B11" s="12">
        <v>37327</v>
      </c>
      <c r="C11" s="13">
        <v>3</v>
      </c>
      <c r="D11" s="12">
        <v>42613</v>
      </c>
      <c r="E11" s="13" t="s">
        <v>1436</v>
      </c>
      <c r="F11" s="13" t="s">
        <v>1437</v>
      </c>
      <c r="G11" s="13" t="s">
        <v>1436</v>
      </c>
      <c r="H11" s="13"/>
      <c r="I11" s="13"/>
      <c r="J11" s="13"/>
      <c r="K11" s="13" t="s">
        <v>1436</v>
      </c>
      <c r="L11" s="13"/>
      <c r="M11" s="13"/>
      <c r="N11" s="14" t="str">
        <f>HYPERLINK("mailto:steve.crosier@nashville.gov","Steve Crosier")</f>
        <v>Steve Crosier</v>
      </c>
      <c r="O11" s="15" t="str">
        <f>HYPERLINK("mailto:Joseph.Redditt@fda.hhs.gov","Dan Redditt")</f>
        <v>Dan Redditt</v>
      </c>
    </row>
    <row r="12" spans="1:15" x14ac:dyDescent="0.25">
      <c r="A12" s="6" t="str">
        <f>HYPERLINK("http://www.shelbytnhealth.com/","Shelby County Health Dept.")</f>
        <v>Shelby County Health Dept.</v>
      </c>
      <c r="B12" s="7">
        <v>39017</v>
      </c>
      <c r="C12" s="8">
        <v>1</v>
      </c>
      <c r="D12" s="7">
        <v>39372</v>
      </c>
      <c r="E12" s="8"/>
      <c r="F12" s="8"/>
      <c r="G12" s="8"/>
      <c r="H12" s="8"/>
      <c r="I12" s="8"/>
      <c r="J12" s="8"/>
      <c r="K12" s="8" t="s">
        <v>1438</v>
      </c>
      <c r="L12" s="8"/>
      <c r="M12" s="8"/>
      <c r="N12" s="8"/>
      <c r="O12" s="10" t="str">
        <f>HYPERLINK("mailto:Joseph.Redditt@fda.hhs.gov","Dan Redditt")</f>
        <v>Dan Redditt</v>
      </c>
    </row>
    <row r="13" spans="1:15" x14ac:dyDescent="0.25">
      <c r="A13" s="6" t="str">
        <f>HYPERLINK("http://www.shelbytnhealth.com/","Shelby County Health Dept.")</f>
        <v>Shelby County Health Dept.</v>
      </c>
      <c r="B13" s="7">
        <v>39017</v>
      </c>
      <c r="C13" s="8">
        <v>2</v>
      </c>
      <c r="D13" s="7">
        <v>42613</v>
      </c>
      <c r="E13" s="8" t="s">
        <v>1431</v>
      </c>
      <c r="F13" s="8" t="s">
        <v>1439</v>
      </c>
      <c r="G13" s="8" t="s">
        <v>1431</v>
      </c>
      <c r="H13" s="8"/>
      <c r="I13" s="8"/>
      <c r="J13" s="8"/>
      <c r="K13" s="8" t="s">
        <v>1431</v>
      </c>
      <c r="L13" s="8"/>
      <c r="M13" s="8"/>
      <c r="N13" s="9" t="str">
        <f>HYPERLINK("mailto:Yolanda.Woods@shelbycountytn.gov","Yolanda Woods")</f>
        <v>Yolanda Woods</v>
      </c>
      <c r="O13" s="10" t="str">
        <f>HYPERLINK("mailto:Joseph.Redditt@fda.hhs.gov","Dan Redditt")</f>
        <v>Dan Redditt</v>
      </c>
    </row>
    <row r="14" spans="1:15" ht="30" x14ac:dyDescent="0.25">
      <c r="A14" s="29" t="s">
        <v>1440</v>
      </c>
      <c r="B14" s="12">
        <v>39023</v>
      </c>
      <c r="C14" s="13">
        <v>1</v>
      </c>
      <c r="D14" s="12">
        <v>40158</v>
      </c>
      <c r="E14" s="13"/>
      <c r="F14" s="13"/>
      <c r="G14" s="13"/>
      <c r="H14" s="13"/>
      <c r="I14" s="13"/>
      <c r="J14" s="13"/>
      <c r="K14" s="13" t="s">
        <v>1441</v>
      </c>
      <c r="L14" s="13"/>
      <c r="M14" s="13"/>
      <c r="N14" s="14" t="str">
        <f>HYPERLINK("mailto:Lori.LeMaster@tn.gov","Lori LeMaster")</f>
        <v>Lori LeMaster</v>
      </c>
      <c r="O14" s="15" t="str">
        <f>HYPERLINK("mailto:Joseph.Redditt@fda.hhs.gov","Dan Redditt")</f>
        <v>Dan Redditt</v>
      </c>
    </row>
    <row r="15" spans="1:15" ht="30" x14ac:dyDescent="0.25">
      <c r="A15" s="29" t="s">
        <v>1440</v>
      </c>
      <c r="B15" s="12">
        <v>39023</v>
      </c>
      <c r="C15" s="13">
        <v>2</v>
      </c>
      <c r="D15" s="12">
        <v>42612</v>
      </c>
      <c r="E15" s="13" t="s">
        <v>1442</v>
      </c>
      <c r="F15" s="13" t="s">
        <v>1443</v>
      </c>
      <c r="G15" s="13" t="s">
        <v>1442</v>
      </c>
      <c r="H15" s="13"/>
      <c r="I15" s="13"/>
      <c r="J15" s="13"/>
      <c r="K15" s="13" t="s">
        <v>1442</v>
      </c>
      <c r="L15" s="13"/>
      <c r="M15" s="13"/>
      <c r="N15" s="14" t="str">
        <f>HYPERLINK("mailto:Lori.LeMaster@tn.gov","Lori LeMaster")</f>
        <v>Lori LeMaster</v>
      </c>
      <c r="O15" s="15" t="str">
        <f>HYPERLINK("mailto:Joseph.Redditt@fda.hhs.gov","Dan Redditt")</f>
        <v>Dan Redditt</v>
      </c>
    </row>
    <row r="16" spans="1:15" ht="45" x14ac:dyDescent="0.25">
      <c r="A16" s="16" t="str">
        <f>HYPERLINK("http://www.tn.gov/agriculture/index.shtml","Tennessee Department of Agriculture, Food &amp; Dairy Section")</f>
        <v>Tennessee Department of Agriculture, Food &amp; Dairy Section</v>
      </c>
      <c r="B16" s="17">
        <v>41347</v>
      </c>
      <c r="C16" s="18">
        <v>1</v>
      </c>
      <c r="D16" s="17">
        <v>41887</v>
      </c>
      <c r="E16" s="18"/>
      <c r="F16" s="18"/>
      <c r="G16" s="18"/>
      <c r="H16" s="18"/>
      <c r="I16" s="18"/>
      <c r="J16" s="18"/>
      <c r="K16" s="18"/>
      <c r="L16" s="18"/>
      <c r="M16" s="18"/>
      <c r="N16" s="19" t="str">
        <f>HYPERLINK("mailto:shanna.lively@tn.gov","Shanna Lively")</f>
        <v>Shanna Lively</v>
      </c>
      <c r="O16" s="20" t="str">
        <f>HYPERLINK("mailto:Joseph.Redditt@fda.hhs.gov","Dan Redditt")</f>
        <v>Dan Redditt</v>
      </c>
    </row>
  </sheetData>
  <pageMargins left="0.15" right="0.15" top="0.25" bottom="0.25" header="0.05" footer="0.05"/>
  <pageSetup orientation="landscape" r:id="rId1"/>
  <tableParts count="1">
    <tablePart r:id="rId2"/>
  </tablePart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5AC8C-0CF6-4262-8D1D-5A83E733AEED}">
  <sheetPr>
    <pageSetUpPr fitToPage="1"/>
  </sheetPr>
  <dimension ref="A1:O100"/>
  <sheetViews>
    <sheetView workbookViewId="0"/>
  </sheetViews>
  <sheetFormatPr defaultRowHeight="15" x14ac:dyDescent="0.25"/>
  <cols>
    <col min="1" max="1" width="33.7109375" customWidth="1"/>
    <col min="2" max="2" width="14.85546875" customWidth="1"/>
    <col min="3" max="3" width="18.42578125" customWidth="1"/>
    <col min="4" max="4" width="22" customWidth="1"/>
    <col min="5" max="13" width="17.28515625" customWidth="1"/>
    <col min="14" max="14" width="14.85546875" customWidth="1"/>
    <col min="15" max="15" width="13.140625" customWidth="1"/>
  </cols>
  <sheetData>
    <row r="1" spans="1:15" x14ac:dyDescent="0.25">
      <c r="A1" t="s">
        <v>1545</v>
      </c>
      <c r="B1" s="2" t="str">
        <f>HYPERLINK("#Introduction!A1","Back to Introduction Page")</f>
        <v>Back to Introduction Page</v>
      </c>
    </row>
    <row r="2" spans="1:15" x14ac:dyDescent="0.25">
      <c r="A2" s="21" t="s">
        <v>1546</v>
      </c>
    </row>
    <row r="3" spans="1:15" ht="45" x14ac:dyDescent="0.25">
      <c r="A3" s="4" t="s">
        <v>15</v>
      </c>
      <c r="B3" s="3" t="s">
        <v>16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21</v>
      </c>
      <c r="H3" s="3" t="s">
        <v>22</v>
      </c>
      <c r="I3" s="3" t="s">
        <v>23</v>
      </c>
      <c r="J3" s="3" t="s">
        <v>24</v>
      </c>
      <c r="K3" s="3" t="s">
        <v>25</v>
      </c>
      <c r="L3" s="3" t="s">
        <v>26</v>
      </c>
      <c r="M3" s="3" t="s">
        <v>27</v>
      </c>
      <c r="N3" s="3" t="s">
        <v>28</v>
      </c>
      <c r="O3" s="5" t="s">
        <v>29</v>
      </c>
    </row>
    <row r="4" spans="1:15" ht="30" x14ac:dyDescent="0.25">
      <c r="A4" s="6" t="str">
        <f>HYPERLINK("http://abilenetx.gov/city-hall/departments/community-services/environmental-health","Abilene - Taylor County Public Health District")</f>
        <v>Abilene - Taylor County Public Health District</v>
      </c>
      <c r="B4" s="7">
        <v>42164</v>
      </c>
      <c r="C4" s="8">
        <v>1</v>
      </c>
      <c r="D4" s="7">
        <v>43378</v>
      </c>
      <c r="E4" s="8" t="s">
        <v>1446</v>
      </c>
      <c r="F4" s="8"/>
      <c r="G4" s="8"/>
      <c r="H4" s="8"/>
      <c r="I4" s="8"/>
      <c r="J4" s="8"/>
      <c r="K4" s="8"/>
      <c r="L4" s="8"/>
      <c r="M4" s="8"/>
      <c r="N4" s="9" t="str">
        <f>HYPERLINK("mailto:terri.auger@abilenetx.gov","Terri Auger")</f>
        <v>Terri Auger</v>
      </c>
      <c r="O4" s="10" t="str">
        <f>HYPERLINK("mailto:Celeste.Parker@fda.hhs.gov","Celeste Parker")</f>
        <v>Celeste Parker</v>
      </c>
    </row>
    <row r="5" spans="1:15" ht="30" x14ac:dyDescent="0.25">
      <c r="A5" s="11" t="str">
        <f>HYPERLINK("http://www.amarillopublichealth.com/","Amarillo Bi-City County Health District")</f>
        <v>Amarillo Bi-City County Health District</v>
      </c>
      <c r="B5" s="12">
        <v>38793</v>
      </c>
      <c r="C5" s="13">
        <v>1</v>
      </c>
      <c r="D5" s="12">
        <v>39083</v>
      </c>
      <c r="E5" s="13" t="s">
        <v>1447</v>
      </c>
      <c r="F5" s="13" t="s">
        <v>1447</v>
      </c>
      <c r="G5" s="13" t="s">
        <v>1448</v>
      </c>
      <c r="H5" s="13" t="s">
        <v>1449</v>
      </c>
      <c r="I5" s="13" t="s">
        <v>1447</v>
      </c>
      <c r="J5" s="13"/>
      <c r="K5" s="13" t="s">
        <v>1447</v>
      </c>
      <c r="L5" s="13"/>
      <c r="M5" s="13"/>
      <c r="N5" s="14" t="str">
        <f>HYPERLINK("mailto:deree.duke@amarillo.gov","Deree Duke")</f>
        <v>Deree Duke</v>
      </c>
      <c r="O5" s="15" t="str">
        <f>HYPERLINK("mailto:Celeste.Parker@fda.hhs.gov","Celeste Parker")</f>
        <v>Celeste Parker</v>
      </c>
    </row>
    <row r="6" spans="1:15" ht="30" x14ac:dyDescent="0.25">
      <c r="A6" s="11" t="str">
        <f>HYPERLINK("http://www.amarillopublichealth.com/","Amarillo Bi-City County Health District")</f>
        <v>Amarillo Bi-City County Health District</v>
      </c>
      <c r="B6" s="12">
        <v>38793</v>
      </c>
      <c r="C6" s="13">
        <v>2</v>
      </c>
      <c r="D6" s="12">
        <v>41030</v>
      </c>
      <c r="E6" s="13" t="s">
        <v>1447</v>
      </c>
      <c r="F6" s="13" t="s">
        <v>1447</v>
      </c>
      <c r="G6" s="13" t="s">
        <v>1448</v>
      </c>
      <c r="H6" s="13" t="s">
        <v>1449</v>
      </c>
      <c r="I6" s="13" t="s">
        <v>1450</v>
      </c>
      <c r="J6" s="13"/>
      <c r="K6" s="13"/>
      <c r="L6" s="13"/>
      <c r="M6" s="13"/>
      <c r="N6" s="14" t="str">
        <f>HYPERLINK("mailto:shaun.may@amarillo.gov","Shaun May")</f>
        <v>Shaun May</v>
      </c>
      <c r="O6" s="15" t="str">
        <f>HYPERLINK("mailto:Celeste.Parker@fda.hhs.gov","Celeste Parker")</f>
        <v>Celeste Parker</v>
      </c>
    </row>
    <row r="7" spans="1:15" ht="30" x14ac:dyDescent="0.25">
      <c r="A7" s="11" t="str">
        <f>HYPERLINK("http://www.amarillopublichealth.com/","Amarillo Bi-City County Health District")</f>
        <v>Amarillo Bi-City County Health District</v>
      </c>
      <c r="B7" s="12">
        <v>38793</v>
      </c>
      <c r="C7" s="13">
        <v>3</v>
      </c>
      <c r="D7" s="12">
        <v>43091</v>
      </c>
      <c r="E7" s="13" t="s">
        <v>1451</v>
      </c>
      <c r="F7" s="13"/>
      <c r="G7" s="13"/>
      <c r="H7" s="13"/>
      <c r="I7" s="13"/>
      <c r="J7" s="13"/>
      <c r="K7" s="13" t="s">
        <v>1451</v>
      </c>
      <c r="L7" s="13"/>
      <c r="M7" s="13"/>
      <c r="N7" s="14" t="str">
        <f>HYPERLINK("mailto:anthony.spanel@amarillo.gov","Anthony Spanel")</f>
        <v>Anthony Spanel</v>
      </c>
      <c r="O7" s="15" t="str">
        <f>HYPERLINK("mailto:Celeste.Parker@fda.hhs.gov","Celeste Parker")</f>
        <v>Celeste Parker</v>
      </c>
    </row>
    <row r="8" spans="1:15" ht="45" x14ac:dyDescent="0.25">
      <c r="A8" s="6" t="str">
        <f>HYPERLINK("www.acchd.us","Angelina County and Cities Health District - Environmental Health")</f>
        <v>Angelina County and Cities Health District - Environmental Health</v>
      </c>
      <c r="B8" s="7">
        <v>42759</v>
      </c>
      <c r="C8" s="8">
        <v>1</v>
      </c>
      <c r="D8" s="7">
        <v>43081</v>
      </c>
      <c r="E8" s="8" t="s">
        <v>1452</v>
      </c>
      <c r="F8" s="8"/>
      <c r="G8" s="8" t="s">
        <v>1453</v>
      </c>
      <c r="H8" s="8" t="s">
        <v>1454</v>
      </c>
      <c r="I8" s="8"/>
      <c r="J8" s="8"/>
      <c r="K8" s="8" t="s">
        <v>1455</v>
      </c>
      <c r="L8" s="8"/>
      <c r="M8" s="8"/>
      <c r="N8" s="9" t="str">
        <f>HYPERLINK("mailto:jchilders@acchd.us","Jana Childers")</f>
        <v>Jana Childers</v>
      </c>
      <c r="O8" s="10" t="str">
        <f>HYPERLINK("mailto:Celeste.Parker@fda.hhs.gov","Celeste Parker")</f>
        <v>Celeste Parker</v>
      </c>
    </row>
    <row r="9" spans="1:15" ht="30" x14ac:dyDescent="0.25">
      <c r="A9" s="11" t="str">
        <f>HYPERLINK("http://www.aransascounty.org/envirohealth/","Aransas County Environmental Health")</f>
        <v>Aransas County Environmental Health</v>
      </c>
      <c r="B9" s="12">
        <v>38698</v>
      </c>
      <c r="C9" s="13">
        <v>1</v>
      </c>
      <c r="D9" s="12">
        <v>39371</v>
      </c>
      <c r="E9" s="13"/>
      <c r="F9" s="13"/>
      <c r="G9" s="13"/>
      <c r="H9" s="13"/>
      <c r="I9" s="13"/>
      <c r="J9" s="13"/>
      <c r="K9" s="13"/>
      <c r="L9" s="13"/>
      <c r="M9" s="13"/>
      <c r="N9" s="14" t="str">
        <f>HYPERLINK("mailto:jsjackson@aransascounty.org","James Jackson")</f>
        <v>James Jackson</v>
      </c>
      <c r="O9" s="15" t="str">
        <f>HYPERLINK("mailto:Celeste.Parker@fda.hhs.gov","Celeste Parker")</f>
        <v>Celeste Parker</v>
      </c>
    </row>
    <row r="10" spans="1:15" ht="45" x14ac:dyDescent="0.25">
      <c r="A10" s="6" t="str">
        <f>HYPERLINK("http://www.austintexas.gov/department/environmental-health-services","Austin/Travis County Health &amp; Human Services Department")</f>
        <v>Austin/Travis County Health &amp; Human Services Department</v>
      </c>
      <c r="B10" s="7">
        <v>38687</v>
      </c>
      <c r="C10" s="8">
        <v>1</v>
      </c>
      <c r="D10" s="7">
        <v>39118</v>
      </c>
      <c r="E10" s="8" t="s">
        <v>1456</v>
      </c>
      <c r="F10" s="8"/>
      <c r="G10" s="8"/>
      <c r="H10" s="8"/>
      <c r="I10" s="8"/>
      <c r="J10" s="8"/>
      <c r="K10" s="8"/>
      <c r="L10" s="8"/>
      <c r="M10" s="8"/>
      <c r="N10" s="9" t="str">
        <f>HYPERLINK("mailto:Sherry.Lyles@austintexas.gov","Sherry Lyles")</f>
        <v>Sherry Lyles</v>
      </c>
      <c r="O10" s="10" t="str">
        <f>HYPERLINK("mailto:Celeste.Parker@fda.hhs.gov","Celeste Parker")</f>
        <v>Celeste Parker</v>
      </c>
    </row>
    <row r="11" spans="1:15" ht="30" x14ac:dyDescent="0.25">
      <c r="A11" s="11" t="str">
        <f>HYPERLINK("http://www.brazoshealth.org/","Brazos County Health Department")</f>
        <v>Brazos County Health Department</v>
      </c>
      <c r="B11" s="12">
        <v>39141</v>
      </c>
      <c r="C11" s="13">
        <v>1</v>
      </c>
      <c r="D11" s="12">
        <v>39458</v>
      </c>
      <c r="E11" s="13"/>
      <c r="F11" s="13"/>
      <c r="G11" s="13"/>
      <c r="H11" s="13"/>
      <c r="I11" s="13"/>
      <c r="J11" s="13"/>
      <c r="K11" s="13" t="s">
        <v>1457</v>
      </c>
      <c r="L11" s="13"/>
      <c r="M11" s="13"/>
      <c r="N11" s="14" t="str">
        <f>HYPERLINK("mailto:shobbs@co.brazos.tx.us","Shelley Hobbs")</f>
        <v>Shelley Hobbs</v>
      </c>
      <c r="O11" s="15" t="str">
        <f>HYPERLINK("mailto:Celeste.Parker@fda.hhs.gov","Celeste Parker")</f>
        <v>Celeste Parker</v>
      </c>
    </row>
    <row r="12" spans="1:15" ht="30" x14ac:dyDescent="0.25">
      <c r="A12" s="11" t="str">
        <f>HYPERLINK("http://www.brazoshealth.org/","Brazos County Health Department")</f>
        <v>Brazos County Health Department</v>
      </c>
      <c r="B12" s="12">
        <v>39141</v>
      </c>
      <c r="C12" s="13">
        <v>2</v>
      </c>
      <c r="D12" s="12">
        <v>40466</v>
      </c>
      <c r="E12" s="13"/>
      <c r="F12" s="13"/>
      <c r="G12" s="13" t="s">
        <v>1458</v>
      </c>
      <c r="H12" s="13"/>
      <c r="I12" s="13"/>
      <c r="J12" s="13"/>
      <c r="K12" s="13" t="s">
        <v>1459</v>
      </c>
      <c r="L12" s="13"/>
      <c r="M12" s="13"/>
      <c r="N12" s="14" t="str">
        <f>HYPERLINK("mailto:shobbs@co.brazos.tx.us","Shelley Hobbs")</f>
        <v>Shelley Hobbs</v>
      </c>
      <c r="O12" s="15" t="str">
        <f>HYPERLINK("mailto:Celeste.Parker@fda.hhs.gov","Celeste Parker")</f>
        <v>Celeste Parker</v>
      </c>
    </row>
    <row r="13" spans="1:15" ht="45" x14ac:dyDescent="0.25">
      <c r="A13" s="6" t="str">
        <f>HYPERLINK("http://www.brownwoodhealthdepartment.com/","Brownwood-Brown County Health Dept - Environmental Sanitation")</f>
        <v>Brownwood-Brown County Health Dept - Environmental Sanitation</v>
      </c>
      <c r="B13" s="7">
        <v>42342</v>
      </c>
      <c r="C13" s="8">
        <v>1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9" t="str">
        <f>HYPERLINK("mailto:ldick@ci.brownwood.tx.us","Lisa Dick")</f>
        <v>Lisa Dick</v>
      </c>
      <c r="O13" s="10" t="str">
        <f>HYPERLINK("mailto:Celeste.Parker@fda.hhs.gov","Celeste Parker")</f>
        <v>Celeste Parker</v>
      </c>
    </row>
    <row r="14" spans="1:15" ht="45" x14ac:dyDescent="0.25">
      <c r="A14" s="11" t="str">
        <f>HYPERLINK("http://www.co.cameron.tx.us/health/index.html","Cameron County Department of Health &amp; Human Services")</f>
        <v>Cameron County Department of Health &amp; Human Services</v>
      </c>
      <c r="B14" s="12">
        <v>39297</v>
      </c>
      <c r="C14" s="13">
        <v>1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4" t="str">
        <f>HYPERLINK("mailto:joe.rodriguez@co.cameron.tx.us","Joe Rodriguez")</f>
        <v>Joe Rodriguez</v>
      </c>
      <c r="O14" s="15" t="str">
        <f>HYPERLINK("mailto:Celeste.Parker@fda.hhs.gov","Celeste Parker")</f>
        <v>Celeste Parker</v>
      </c>
    </row>
    <row r="15" spans="1:15" ht="30" x14ac:dyDescent="0.25">
      <c r="A15" s="6" t="str">
        <f>HYPERLINK("http://www.cctxphd.org/","Cherokee County Department of Public Health")</f>
        <v>Cherokee County Department of Public Health</v>
      </c>
      <c r="B15" s="7">
        <v>42647</v>
      </c>
      <c r="C15" s="8">
        <v>1</v>
      </c>
      <c r="D15" s="7">
        <v>43003</v>
      </c>
      <c r="E15" s="8"/>
      <c r="F15" s="8"/>
      <c r="G15" s="8"/>
      <c r="H15" s="8"/>
      <c r="I15" s="8"/>
      <c r="J15" s="8"/>
      <c r="K15" s="8"/>
      <c r="L15" s="8"/>
      <c r="M15" s="8"/>
      <c r="N15" s="9" t="str">
        <f>HYPERLINK("mailto:jdeguzman@cctxphd.org","Joseph DeGuzman")</f>
        <v>Joseph DeGuzman</v>
      </c>
      <c r="O15" s="10" t="str">
        <f>HYPERLINK("mailto:Celeste.Parker@fda.hhs.gov","Celeste Parker")</f>
        <v>Celeste Parker</v>
      </c>
    </row>
    <row r="16" spans="1:15" ht="30" x14ac:dyDescent="0.25">
      <c r="A16" s="11" t="str">
        <f>HYPERLINK("http://www.cityofalice.org/","City of Alice")</f>
        <v>City of Alice</v>
      </c>
      <c r="B16" s="12">
        <v>39009</v>
      </c>
      <c r="C16" s="13">
        <v>1</v>
      </c>
      <c r="D16" s="12">
        <v>39120</v>
      </c>
      <c r="E16" s="13"/>
      <c r="F16" s="13"/>
      <c r="G16" s="13"/>
      <c r="H16" s="13"/>
      <c r="I16" s="13"/>
      <c r="J16" s="13"/>
      <c r="K16" s="13"/>
      <c r="L16" s="13" t="s">
        <v>1460</v>
      </c>
      <c r="M16" s="13"/>
      <c r="N16" s="14" t="str">
        <f>HYPERLINK("mailto:ybueno@cityofalice.org","Yolando Bueno")</f>
        <v>Yolando Bueno</v>
      </c>
      <c r="O16" s="15" t="str">
        <f>HYPERLINK("mailto:Celeste.Parker@fda.hhs.gov","Celeste Parker")</f>
        <v>Celeste Parker</v>
      </c>
    </row>
    <row r="17" spans="1:15" ht="30" x14ac:dyDescent="0.25">
      <c r="A17" s="6" t="str">
        <f>HYPERLINK("http://www.cityofallen.org/departments/building_code_compliance/environmental_svcs/","City of Allen")</f>
        <v>City of Allen</v>
      </c>
      <c r="B17" s="7">
        <v>38898</v>
      </c>
      <c r="C17" s="8">
        <v>1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9" t="str">
        <f>HYPERLINK("mailto:kmay@cityofallen.org","Kathy May")</f>
        <v>Kathy May</v>
      </c>
      <c r="O17" s="10" t="str">
        <f>HYPERLINK("mailto:Celeste.Parker@fda.hhs.gov","Celeste Parker")</f>
        <v>Celeste Parker</v>
      </c>
    </row>
    <row r="18" spans="1:15" ht="30" x14ac:dyDescent="0.25">
      <c r="A18" s="11" t="str">
        <f>HYPERLINK("http://www.alvin-tx.gov","City of Alvin")</f>
        <v>City of Alvin</v>
      </c>
      <c r="B18" s="12">
        <v>42688</v>
      </c>
      <c r="C18" s="13">
        <v>1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4" t="str">
        <f>HYPERLINK("mailto:scrist@cityofalvin.com","Shelley Crist")</f>
        <v>Shelley Crist</v>
      </c>
      <c r="O18" s="15" t="str">
        <f>HYPERLINK("mailto:Celeste.Parker@fda.hhs.gov","Celeste Parker")</f>
        <v>Celeste Parker</v>
      </c>
    </row>
    <row r="19" spans="1:15" ht="30" x14ac:dyDescent="0.25">
      <c r="A19" s="6" t="str">
        <f>HYPERLINK("http://www.ci.arlington.tx.us/","City of Arlington")</f>
        <v>City of Arlington</v>
      </c>
      <c r="B19" s="7">
        <v>38413</v>
      </c>
      <c r="C19" s="8">
        <v>1</v>
      </c>
      <c r="D19" s="7">
        <v>38996</v>
      </c>
      <c r="E19" s="8" t="s">
        <v>1461</v>
      </c>
      <c r="F19" s="8"/>
      <c r="G19" s="8"/>
      <c r="H19" s="8"/>
      <c r="I19" s="8"/>
      <c r="J19" s="8"/>
      <c r="K19" s="8" t="s">
        <v>1461</v>
      </c>
      <c r="L19" s="8"/>
      <c r="M19" s="8"/>
      <c r="N19" s="9" t="str">
        <f>HYPERLINK("mailto:barbara.martindale@arlingtontx.gov","Barbara Martindale")</f>
        <v>Barbara Martindale</v>
      </c>
      <c r="O19" s="10" t="str">
        <f>HYPERLINK("mailto:Celeste.Parker@fda.hhs.gov","Celeste Parker")</f>
        <v>Celeste Parker</v>
      </c>
    </row>
    <row r="20" spans="1:15" ht="30" x14ac:dyDescent="0.25">
      <c r="A20" s="11" t="str">
        <f>HYPERLINK("http://www.baytown.org/government/departments/health/default.htm","City of Baytown Health Department")</f>
        <v>City of Baytown Health Department</v>
      </c>
      <c r="B20" s="12">
        <v>39174</v>
      </c>
      <c r="C20" s="13">
        <v>1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4" t="str">
        <f>HYPERLINK("mailto:tony.gray@baytown.org","Tony Gray")</f>
        <v>Tony Gray</v>
      </c>
      <c r="O20" s="15" t="str">
        <f>HYPERLINK("mailto:Celeste.Parker@fda.hhs.gov","Celeste Parker")</f>
        <v>Celeste Parker</v>
      </c>
    </row>
    <row r="21" spans="1:15" ht="30" x14ac:dyDescent="0.25">
      <c r="A21" s="6" t="str">
        <f>HYPERLINK("http://www.cob.us/621/Health-Inspections-Foods","City of Brownsville Public Health Department")</f>
        <v>City of Brownsville Public Health Department</v>
      </c>
      <c r="B21" s="7">
        <v>39213</v>
      </c>
      <c r="C21" s="8">
        <v>1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9" t="str">
        <f>HYPERLINK("mailto:raulv@cob.us","Raul Villareal")</f>
        <v>Raul Villareal</v>
      </c>
      <c r="O21" s="10" t="str">
        <f>HYPERLINK("mailto:Celeste.Parker@fda.hhs.gov","Celeste Parker")</f>
        <v>Celeste Parker</v>
      </c>
    </row>
    <row r="22" spans="1:15" ht="30" x14ac:dyDescent="0.25">
      <c r="A22" s="29" t="s">
        <v>1462</v>
      </c>
      <c r="B22" s="12">
        <v>38407</v>
      </c>
      <c r="C22" s="13">
        <v>1</v>
      </c>
      <c r="D22" s="12">
        <v>38831</v>
      </c>
      <c r="E22" s="13" t="s">
        <v>1463</v>
      </c>
      <c r="F22" s="13"/>
      <c r="G22" s="13"/>
      <c r="H22" s="13"/>
      <c r="I22" s="13"/>
      <c r="J22" s="13"/>
      <c r="K22" s="13"/>
      <c r="L22" s="13"/>
      <c r="M22" s="13"/>
      <c r="N22" s="14" t="str">
        <f>HYPERLINK("mailto:Cory.Heiple@cityofcarrollton.com","Cory Heiple")</f>
        <v>Cory Heiple</v>
      </c>
      <c r="O22" s="15" t="str">
        <f>HYPERLINK("mailto:Celeste.Parker@fda.hhs.gov","Celeste Parker")</f>
        <v>Celeste Parker</v>
      </c>
    </row>
    <row r="23" spans="1:15" ht="45" x14ac:dyDescent="0.25">
      <c r="A23" s="6" t="str">
        <f>HYPERLINK("http://www.ci.coppell.tx.us/","City of Coppell Environmental Health Division")</f>
        <v>City of Coppell Environmental Health Division</v>
      </c>
      <c r="B23" s="7">
        <v>38397</v>
      </c>
      <c r="C23" s="8">
        <v>1</v>
      </c>
      <c r="D23" s="7">
        <v>38737</v>
      </c>
      <c r="E23" s="8" t="s">
        <v>1464</v>
      </c>
      <c r="F23" s="8"/>
      <c r="G23" s="8" t="s">
        <v>1464</v>
      </c>
      <c r="H23" s="8"/>
      <c r="I23" s="8" t="s">
        <v>1465</v>
      </c>
      <c r="J23" s="8"/>
      <c r="K23" s="8" t="s">
        <v>1465</v>
      </c>
      <c r="L23" s="8"/>
      <c r="M23" s="8"/>
      <c r="N23" s="9" t="str">
        <f>HYPERLINK("mailto:pkittles@ci.coppell.tx.us","Perri Kittles")</f>
        <v>Perri Kittles</v>
      </c>
      <c r="O23" s="10" t="str">
        <f>HYPERLINK("mailto:Celeste.Parker@fda.hhs.gov","Celeste Parker")</f>
        <v>Celeste Parker</v>
      </c>
    </row>
    <row r="24" spans="1:15" ht="30" x14ac:dyDescent="0.25">
      <c r="A24" s="11" t="str">
        <f>HYPERLINK("http://www.dallascityhall.com/services/Services_Health.html","City of Dallas Health Department")</f>
        <v>City of Dallas Health Department</v>
      </c>
      <c r="B24" s="12">
        <v>37138</v>
      </c>
      <c r="C24" s="13">
        <v>1</v>
      </c>
      <c r="D24" s="12">
        <v>38887</v>
      </c>
      <c r="E24" s="13"/>
      <c r="F24" s="13"/>
      <c r="G24" s="13"/>
      <c r="H24" s="13"/>
      <c r="I24" s="13" t="s">
        <v>1466</v>
      </c>
      <c r="J24" s="13"/>
      <c r="K24" s="13" t="s">
        <v>1466</v>
      </c>
      <c r="L24" s="13"/>
      <c r="M24" s="13"/>
      <c r="N24" s="14" t="str">
        <f>HYPERLINK("mailto:crystal.woods@dallascityhall.com","Crystal Woods")</f>
        <v>Crystal Woods</v>
      </c>
      <c r="O24" s="15" t="str">
        <f>HYPERLINK("mailto:Celeste.Parker@fda.hhs.gov","Celeste Parker")</f>
        <v>Celeste Parker</v>
      </c>
    </row>
    <row r="25" spans="1:15" ht="30" x14ac:dyDescent="0.25">
      <c r="A25" s="6" t="str">
        <f>HYPERLINK("http://www.cityofdenton.com/pages/mygovplanninginsphealth.cfm","City of Denton")</f>
        <v>City of Denton</v>
      </c>
      <c r="B25" s="7">
        <v>38587</v>
      </c>
      <c r="C25" s="8">
        <v>1</v>
      </c>
      <c r="D25" s="7">
        <v>38957</v>
      </c>
      <c r="E25" s="8" t="s">
        <v>1467</v>
      </c>
      <c r="F25" s="8"/>
      <c r="G25" s="8"/>
      <c r="H25" s="8"/>
      <c r="I25" s="8"/>
      <c r="J25" s="8"/>
      <c r="K25" s="8"/>
      <c r="L25" s="8"/>
      <c r="M25" s="8"/>
      <c r="N25" s="9" t="str">
        <f>HYPERLINK("mailto:kurt.hansen@cityofdenton.com","Kurt Hansen")</f>
        <v>Kurt Hansen</v>
      </c>
      <c r="O25" s="10" t="str">
        <f>HYPERLINK("mailto:Celeste.Parker@fda.hhs.gov","Celeste Parker")</f>
        <v>Celeste Parker</v>
      </c>
    </row>
    <row r="26" spans="1:15" ht="30" x14ac:dyDescent="0.25">
      <c r="A26" s="11" t="str">
        <f>HYPERLINK("http://www.ci.desoto.tx.us/512/Health-Department","City of Desoto - Environmental Services")</f>
        <v>City of Desoto - Environmental Services</v>
      </c>
      <c r="B26" s="12">
        <v>38862</v>
      </c>
      <c r="C26" s="13">
        <v>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4" t="str">
        <f>HYPERLINK("mailto:jstephens@desototexas.gov","Jimmy Stephens")</f>
        <v>Jimmy Stephens</v>
      </c>
      <c r="O26" s="15" t="str">
        <f>HYPERLINK("mailto:Celeste.Parker@fda.hhs.gov","Celeste Parker")</f>
        <v>Celeste Parker</v>
      </c>
    </row>
    <row r="27" spans="1:15" ht="30" x14ac:dyDescent="0.25">
      <c r="A27" s="6" t="str">
        <f>HYPERLINK("http://www.cityofedinburg.com/","City of Edinburg")</f>
        <v>City of Edinburg</v>
      </c>
      <c r="B27" s="7">
        <v>41612</v>
      </c>
      <c r="C27" s="8">
        <v>1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9" t="str">
        <f>HYPERLINK("mailto:rvela@cityofedinburg.com","Ramon Vela")</f>
        <v>Ramon Vela</v>
      </c>
      <c r="O27" s="10" t="str">
        <f>HYPERLINK("mailto:Celeste.Parker@fda.hhs.gov","Celeste Parker")</f>
        <v>Celeste Parker</v>
      </c>
    </row>
    <row r="28" spans="1:15" ht="30" x14ac:dyDescent="0.25">
      <c r="A28" s="11" t="str">
        <f>HYPERLINK("https://www.elpasotexas.gov/public-health/programs/food-inspection","City of El Paso Department of Public Health")</f>
        <v>City of El Paso Department of Public Health</v>
      </c>
      <c r="B28" s="12">
        <v>38954</v>
      </c>
      <c r="C28" s="13">
        <v>1</v>
      </c>
      <c r="D28" s="12">
        <v>39332</v>
      </c>
      <c r="E28" s="13"/>
      <c r="F28" s="13"/>
      <c r="G28" s="13" t="s">
        <v>1468</v>
      </c>
      <c r="H28" s="13"/>
      <c r="I28" s="13"/>
      <c r="J28" s="13"/>
      <c r="K28" s="13" t="s">
        <v>1468</v>
      </c>
      <c r="L28" s="13"/>
      <c r="M28" s="13"/>
      <c r="N28" s="14" t="str">
        <f>HYPERLINK("mailto:SaxtonCD@elpasotexas.gov","Christopher Saxton")</f>
        <v>Christopher Saxton</v>
      </c>
      <c r="O28" s="15" t="str">
        <f>HYPERLINK("mailto:Celeste.Parker@fda.hhs.gov","Celeste Parker")</f>
        <v>Celeste Parker</v>
      </c>
    </row>
    <row r="29" spans="1:15" ht="30" x14ac:dyDescent="0.25">
      <c r="A29" s="6" t="str">
        <f>HYPERLINK("http://www.fortworthgov.org/","City of Fort Worth Health Department")</f>
        <v>City of Fort Worth Health Department</v>
      </c>
      <c r="B29" s="7">
        <v>37239</v>
      </c>
      <c r="C29" s="8">
        <v>1</v>
      </c>
      <c r="D29" s="7">
        <v>37649</v>
      </c>
      <c r="E29" s="8" t="s">
        <v>1469</v>
      </c>
      <c r="F29" s="8"/>
      <c r="G29" s="8"/>
      <c r="H29" s="8"/>
      <c r="I29" s="8"/>
      <c r="J29" s="8"/>
      <c r="K29" s="8"/>
      <c r="L29" s="8"/>
      <c r="M29" s="8"/>
      <c r="N29" s="9" t="str">
        <f>HYPERLINK("mailto:depaule@ci.fort-worth.tx.us","Elmer DePaula")</f>
        <v>Elmer DePaula</v>
      </c>
      <c r="O29" s="10" t="str">
        <f>HYPERLINK("mailto:Celeste.Parker@fda.hhs.gov","Celeste Parker")</f>
        <v>Celeste Parker</v>
      </c>
    </row>
    <row r="30" spans="1:15" ht="30" x14ac:dyDescent="0.25">
      <c r="A30" s="11" t="str">
        <f>HYPERLINK("http://www.nctcog.org/dept.asp","City of Frisco")</f>
        <v>City of Frisco</v>
      </c>
      <c r="B30" s="12">
        <v>40055</v>
      </c>
      <c r="C30" s="13">
        <v>1</v>
      </c>
      <c r="D30" s="12">
        <v>40055</v>
      </c>
      <c r="E30" s="13" t="s">
        <v>1470</v>
      </c>
      <c r="F30" s="13"/>
      <c r="G30" s="13"/>
      <c r="H30" s="13"/>
      <c r="I30" s="13" t="s">
        <v>1471</v>
      </c>
      <c r="J30" s="13"/>
      <c r="K30" s="13" t="s">
        <v>1470</v>
      </c>
      <c r="L30" s="13"/>
      <c r="M30" s="13"/>
      <c r="N30" s="14" t="str">
        <f>HYPERLINK("mailto:jfernandez@friscotexas.gov","Julie Fernandez")</f>
        <v>Julie Fernandez</v>
      </c>
      <c r="O30" s="15" t="str">
        <f>HYPERLINK("mailto:Celeste.Parker@fda.hhs.gov","Celeste Parker")</f>
        <v>Celeste Parker</v>
      </c>
    </row>
    <row r="31" spans="1:15" ht="30" x14ac:dyDescent="0.25">
      <c r="A31" s="11" t="str">
        <f>HYPERLINK("http://www.nctcog.org/dept.asp","City of Frisco")</f>
        <v>City of Frisco</v>
      </c>
      <c r="B31" s="12">
        <v>40055</v>
      </c>
      <c r="C31" s="13">
        <v>2</v>
      </c>
      <c r="D31" s="12">
        <v>41919</v>
      </c>
      <c r="E31" s="13" t="s">
        <v>1472</v>
      </c>
      <c r="F31" s="13" t="s">
        <v>1473</v>
      </c>
      <c r="G31" s="13"/>
      <c r="H31" s="13"/>
      <c r="I31" s="13" t="s">
        <v>1474</v>
      </c>
      <c r="J31" s="13"/>
      <c r="K31" s="13" t="s">
        <v>1475</v>
      </c>
      <c r="L31" s="13"/>
      <c r="M31" s="13"/>
      <c r="N31" s="14" t="str">
        <f>HYPERLINK("mailto:jfernandez@friscotexas.gov","Julie Fernandez")</f>
        <v>Julie Fernandez</v>
      </c>
      <c r="O31" s="15" t="str">
        <f>HYPERLINK("mailto:Celeste.Parker@fda.hhs.gov","Celeste Parker")</f>
        <v>Celeste Parker</v>
      </c>
    </row>
    <row r="32" spans="1:15" ht="30" x14ac:dyDescent="0.25">
      <c r="A32" s="6" t="str">
        <f>HYPERLINK("http://www.ci.garland.tx.us/gov/hk/health/","City of Garland")</f>
        <v>City of Garland</v>
      </c>
      <c r="B32" s="7">
        <v>37753</v>
      </c>
      <c r="C32" s="8">
        <v>1</v>
      </c>
      <c r="D32" s="7">
        <v>38167</v>
      </c>
      <c r="E32" s="8"/>
      <c r="F32" s="8"/>
      <c r="G32" s="8"/>
      <c r="H32" s="8" t="s">
        <v>1476</v>
      </c>
      <c r="I32" s="8"/>
      <c r="J32" s="8"/>
      <c r="K32" s="8"/>
      <c r="L32" s="8"/>
      <c r="M32" s="8"/>
      <c r="N32" s="9" t="str">
        <f>HYPERLINK("mailto:rbriley@ci.garland.tx.us","Richard Briley")</f>
        <v>Richard Briley</v>
      </c>
      <c r="O32" s="10" t="str">
        <f>HYPERLINK("mailto:Celeste.Parker@fda.hhs.gov","Celeste Parker")</f>
        <v>Celeste Parker</v>
      </c>
    </row>
    <row r="33" spans="1:15" ht="30" x14ac:dyDescent="0.25">
      <c r="A33" s="6" t="str">
        <f>HYPERLINK("http://www.ci.garland.tx.us/gov/hk/health/","City of Garland")</f>
        <v>City of Garland</v>
      </c>
      <c r="B33" s="7">
        <v>37753</v>
      </c>
      <c r="C33" s="8">
        <v>2</v>
      </c>
      <c r="D33" s="7">
        <v>39776</v>
      </c>
      <c r="E33" s="8" t="s">
        <v>1477</v>
      </c>
      <c r="F33" s="8"/>
      <c r="G33" s="8"/>
      <c r="H33" s="8"/>
      <c r="I33" s="8"/>
      <c r="J33" s="8"/>
      <c r="K33" s="8" t="s">
        <v>1477</v>
      </c>
      <c r="L33" s="8"/>
      <c r="M33" s="8"/>
      <c r="N33" s="9" t="str">
        <f>HYPERLINK("mailto:ccorley@garlandtx.gov","Cindy Corley")</f>
        <v>Cindy Corley</v>
      </c>
      <c r="O33" s="10" t="str">
        <f>HYPERLINK("mailto:Celeste.Parker@fda.hhs.gov","Celeste Parker")</f>
        <v>Celeste Parker</v>
      </c>
    </row>
    <row r="34" spans="1:15" ht="30" x14ac:dyDescent="0.25">
      <c r="A34" s="11" t="str">
        <f>HYPERLINK("http://www.gptx.org/","City of Grand Prairie")</f>
        <v>City of Grand Prairie</v>
      </c>
      <c r="B34" s="12">
        <v>38594</v>
      </c>
      <c r="C34" s="13">
        <v>1</v>
      </c>
      <c r="D34" s="12">
        <v>38960</v>
      </c>
      <c r="E34" s="13"/>
      <c r="F34" s="13"/>
      <c r="G34" s="13"/>
      <c r="H34" s="13"/>
      <c r="I34" s="13"/>
      <c r="J34" s="13"/>
      <c r="K34" s="13" t="s">
        <v>1478</v>
      </c>
      <c r="L34" s="13"/>
      <c r="M34" s="13"/>
      <c r="N34" s="14" t="str">
        <f>HYPERLINK("mailto:wrodriguez@gptx.org","Werner Rodriguez")</f>
        <v>Werner Rodriguez</v>
      </c>
      <c r="O34" s="15" t="str">
        <f>HYPERLINK("mailto:Celeste.Parker@fda.hhs.gov","Celeste Parker")</f>
        <v>Celeste Parker</v>
      </c>
    </row>
    <row r="35" spans="1:15" ht="30" x14ac:dyDescent="0.25">
      <c r="A35" s="6" t="str">
        <f>HYPERLINK("http://www.myharlingen.us/","City of Harlingen")</f>
        <v>City of Harlingen</v>
      </c>
      <c r="B35" s="7">
        <v>38950</v>
      </c>
      <c r="C35" s="8">
        <v>1</v>
      </c>
      <c r="D35" s="7">
        <v>39266</v>
      </c>
      <c r="E35" s="8" t="s">
        <v>1479</v>
      </c>
      <c r="F35" s="8"/>
      <c r="G35" s="8"/>
      <c r="H35" s="8"/>
      <c r="I35" s="8"/>
      <c r="J35" s="8"/>
      <c r="K35" s="8"/>
      <c r="L35" s="8"/>
      <c r="M35" s="8"/>
      <c r="N35" s="9" t="str">
        <f>HYPERLINK("mailto:rgonzales@myharlingen.us","Ramiro Gonzales")</f>
        <v>Ramiro Gonzales</v>
      </c>
      <c r="O35" s="10" t="str">
        <f>HYPERLINK("mailto:Celeste.Parker@fda.hhs.gov","Celeste Parker")</f>
        <v>Celeste Parker</v>
      </c>
    </row>
    <row r="36" spans="1:15" ht="30" x14ac:dyDescent="0.25">
      <c r="A36" s="11" t="str">
        <f>HYPERLINK("http://www.houstontx.gov/health/index.html","City of Houston Health Department")</f>
        <v>City of Houston Health Department</v>
      </c>
      <c r="B36" s="12">
        <v>37131</v>
      </c>
      <c r="C36" s="13">
        <v>1</v>
      </c>
      <c r="D36" s="12">
        <v>37470</v>
      </c>
      <c r="E36" s="13" t="s">
        <v>1480</v>
      </c>
      <c r="F36" s="13"/>
      <c r="G36" s="13"/>
      <c r="H36" s="13"/>
      <c r="I36" s="13"/>
      <c r="J36" s="13"/>
      <c r="K36" s="13" t="s">
        <v>1481</v>
      </c>
      <c r="L36" s="13"/>
      <c r="M36" s="13" t="s">
        <v>1481</v>
      </c>
      <c r="N36" s="14" t="str">
        <f>HYPERLINK("mailto:Christopher.Sparks@houstontx.gov","Christopher Sparks")</f>
        <v>Christopher Sparks</v>
      </c>
      <c r="O36" s="15" t="str">
        <f>HYPERLINK("mailto:Celeste.Parker@fda.hhs.gov","Celeste Parker")</f>
        <v>Celeste Parker</v>
      </c>
    </row>
    <row r="37" spans="1:15" ht="30" x14ac:dyDescent="0.25">
      <c r="A37" s="11" t="str">
        <f>HYPERLINK("http://www.houstontx.gov/health/index.html","City of Houston Health Department")</f>
        <v>City of Houston Health Department</v>
      </c>
      <c r="B37" s="12">
        <v>37131</v>
      </c>
      <c r="C37" s="13">
        <v>2</v>
      </c>
      <c r="D37" s="12">
        <v>42825</v>
      </c>
      <c r="E37" s="13"/>
      <c r="F37" s="13"/>
      <c r="G37" s="13" t="s">
        <v>1482</v>
      </c>
      <c r="H37" s="13" t="s">
        <v>1483</v>
      </c>
      <c r="I37" s="13" t="s">
        <v>1484</v>
      </c>
      <c r="J37" s="13" t="s">
        <v>1485</v>
      </c>
      <c r="K37" s="13" t="s">
        <v>1486</v>
      </c>
      <c r="L37" s="13"/>
      <c r="M37" s="13"/>
      <c r="N37" s="14" t="str">
        <f>HYPERLINK("mailto:Christopher.Sparks@houstontx.gov","Christopher Sparks")</f>
        <v>Christopher Sparks</v>
      </c>
      <c r="O37" s="15" t="str">
        <f>HYPERLINK("mailto:Celeste.Parker@fda.hhs.gov","Celeste Parker")</f>
        <v>Celeste Parker</v>
      </c>
    </row>
    <row r="38" spans="1:15" ht="30" x14ac:dyDescent="0.25">
      <c r="A38" s="6" t="str">
        <f>HYPERLINK("http://www.huntsvilletx.gov/164/Health-Inspections","City of Huntsville Service Center")</f>
        <v>City of Huntsville Service Center</v>
      </c>
      <c r="B38" s="7">
        <v>38433</v>
      </c>
      <c r="C38" s="8">
        <v>1</v>
      </c>
      <c r="D38" s="7">
        <v>38804</v>
      </c>
      <c r="E38" s="8"/>
      <c r="F38" s="8"/>
      <c r="G38" s="8" t="s">
        <v>1141</v>
      </c>
      <c r="H38" s="8"/>
      <c r="I38" s="8"/>
      <c r="J38" s="8"/>
      <c r="K38" s="8" t="s">
        <v>1141</v>
      </c>
      <c r="L38" s="8"/>
      <c r="M38" s="8"/>
      <c r="N38" s="9" t="str">
        <f>HYPERLINK("mailto:rlovin@huntsvilletx.gov","Ree Slovin")</f>
        <v>Ree Slovin</v>
      </c>
      <c r="O38" s="10" t="str">
        <f>HYPERLINK("mailto:Celeste.Parker@fda.hhs.gov","Celeste Parker")</f>
        <v>Celeste Parker</v>
      </c>
    </row>
    <row r="39" spans="1:15" ht="30" x14ac:dyDescent="0.25">
      <c r="A39" s="11" t="str">
        <f>HYPERLINK("http://www.ci.irving.tx.us/code-enforcement/health.asp","City of Irving")</f>
        <v>City of Irving</v>
      </c>
      <c r="B39" s="12">
        <v>39015</v>
      </c>
      <c r="C39" s="13">
        <v>1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4" t="str">
        <f>HYPERLINK("mailto:dmallette@cityofirving.org","David Mallete")</f>
        <v>David Mallete</v>
      </c>
      <c r="O39" s="15" t="str">
        <f>HYPERLINK("mailto:Celeste.Parker@fda.hhs.gov","Celeste Parker")</f>
        <v>Celeste Parker</v>
      </c>
    </row>
    <row r="40" spans="1:15" ht="30" x14ac:dyDescent="0.25">
      <c r="A40" s="6" t="str">
        <f>HYPERLINK("http://www.cityoflaredo.com/health/health.htm","City of Laredo Health Department")</f>
        <v>City of Laredo Health Department</v>
      </c>
      <c r="B40" s="7">
        <v>38924</v>
      </c>
      <c r="C40" s="8">
        <v>1</v>
      </c>
      <c r="D40" s="7">
        <v>39294</v>
      </c>
      <c r="E40" s="8" t="s">
        <v>1487</v>
      </c>
      <c r="F40" s="8"/>
      <c r="G40" s="8"/>
      <c r="H40" s="8"/>
      <c r="I40" s="8"/>
      <c r="J40" s="8"/>
      <c r="K40" s="8"/>
      <c r="L40" s="8"/>
      <c r="M40" s="8"/>
      <c r="N40" s="8" t="s">
        <v>1488</v>
      </c>
      <c r="O40" s="10" t="str">
        <f>HYPERLINK("mailto:Celeste.Parker@fda.hhs.gov","Celeste Parker")</f>
        <v>Celeste Parker</v>
      </c>
    </row>
    <row r="41" spans="1:15" ht="30" x14ac:dyDescent="0.25">
      <c r="A41" s="11" t="str">
        <f>HYPERLINK("http://healthdept.ci.lubbock.tx.us/","City of Lubbock Health Department")</f>
        <v>City of Lubbock Health Department</v>
      </c>
      <c r="B41" s="12">
        <v>38687</v>
      </c>
      <c r="C41" s="13">
        <v>1</v>
      </c>
      <c r="D41" s="12">
        <v>39082</v>
      </c>
      <c r="E41" s="13" t="s">
        <v>1489</v>
      </c>
      <c r="F41" s="13"/>
      <c r="G41" s="13"/>
      <c r="H41" s="13" t="s">
        <v>1489</v>
      </c>
      <c r="I41" s="13"/>
      <c r="J41" s="13"/>
      <c r="K41" s="13"/>
      <c r="L41" s="13"/>
      <c r="M41" s="13"/>
      <c r="N41" s="14" t="str">
        <f>HYPERLINK("mailto:MSWalker@mail.ci.lubbock.tx.us","Stevan Walker")</f>
        <v>Stevan Walker</v>
      </c>
      <c r="O41" s="15" t="str">
        <f>HYPERLINK("mailto:Celeste.Parker@fda.hhs.gov","Celeste Parker")</f>
        <v>Celeste Parker</v>
      </c>
    </row>
    <row r="42" spans="1:15" ht="30" x14ac:dyDescent="0.25">
      <c r="A42" s="11" t="str">
        <f>HYPERLINK("http://healthdept.ci.lubbock.tx.us/","City of Lubbock Health Department")</f>
        <v>City of Lubbock Health Department</v>
      </c>
      <c r="B42" s="12">
        <v>38687</v>
      </c>
      <c r="C42" s="13">
        <v>2</v>
      </c>
      <c r="D42" s="12">
        <v>41957</v>
      </c>
      <c r="E42" s="13"/>
      <c r="F42" s="13"/>
      <c r="G42" s="13"/>
      <c r="H42" s="13"/>
      <c r="I42" s="13"/>
      <c r="J42" s="13"/>
      <c r="K42" s="13"/>
      <c r="L42" s="13"/>
      <c r="M42" s="13"/>
      <c r="N42" s="14" t="str">
        <f>HYPERLINK("mailto:MSWalker@mail.ci.lubbock.tx.us","Stevan Walker")</f>
        <v>Stevan Walker</v>
      </c>
      <c r="O42" s="15" t="str">
        <f>HYPERLINK("mailto:Celeste.Parker@fda.hhs.gov","Celeste Parker")</f>
        <v>Celeste Parker</v>
      </c>
    </row>
    <row r="43" spans="1:15" ht="30" x14ac:dyDescent="0.25">
      <c r="A43" s="6" t="str">
        <f>HYPERLINK("http://www.mcallen.net/devservices/health/default.aspx","City of McAllen")</f>
        <v>City of McAllen</v>
      </c>
      <c r="B43" s="7">
        <v>38747</v>
      </c>
      <c r="C43" s="8">
        <v>1</v>
      </c>
      <c r="D43" s="7">
        <v>39304</v>
      </c>
      <c r="E43" s="8" t="s">
        <v>1490</v>
      </c>
      <c r="F43" s="8"/>
      <c r="G43" s="8"/>
      <c r="H43" s="8"/>
      <c r="I43" s="8"/>
      <c r="J43" s="8"/>
      <c r="K43" s="8"/>
      <c r="L43" s="8"/>
      <c r="M43" s="8"/>
      <c r="N43" s="9" t="str">
        <f>HYPERLINK("mailto:gflores@mcallen.net","Lupe Flores")</f>
        <v>Lupe Flores</v>
      </c>
      <c r="O43" s="10" t="str">
        <f>HYPERLINK("mailto:Celeste.Parker@fda.hhs.gov","Celeste Parker")</f>
        <v>Celeste Parker</v>
      </c>
    </row>
    <row r="44" spans="1:15" ht="30" x14ac:dyDescent="0.25">
      <c r="A44" s="6" t="str">
        <f>HYPERLINK("http://www.mcallen.net/devservices/health/default.aspx","City of McAllen")</f>
        <v>City of McAllen</v>
      </c>
      <c r="B44" s="7">
        <v>38747</v>
      </c>
      <c r="C44" s="8">
        <v>2</v>
      </c>
      <c r="D44" s="7">
        <v>42937</v>
      </c>
      <c r="E44" s="8" t="s">
        <v>1491</v>
      </c>
      <c r="F44" s="8" t="s">
        <v>1492</v>
      </c>
      <c r="G44" s="8"/>
      <c r="H44" s="8"/>
      <c r="I44" s="8"/>
      <c r="J44" s="8" t="s">
        <v>1493</v>
      </c>
      <c r="K44" s="8" t="s">
        <v>1491</v>
      </c>
      <c r="L44" s="8"/>
      <c r="M44" s="8"/>
      <c r="N44" s="9" t="str">
        <f>HYPERLINK("mailto:skotsatos@mcallen.net","Steven Kotsatos")</f>
        <v>Steven Kotsatos</v>
      </c>
      <c r="O44" s="10" t="str">
        <f>HYPERLINK("mailto:Celeste.Parker@fda.hhs.gov","Celeste Parker")</f>
        <v>Celeste Parker</v>
      </c>
    </row>
    <row r="45" spans="1:15" ht="30" x14ac:dyDescent="0.25">
      <c r="A45" s="11" t="str">
        <f>HYPERLINK("http://www.mckinneytexas.org/frameset.asp?aid=144","City of McKinney")</f>
        <v>City of McKinney</v>
      </c>
      <c r="B45" s="12">
        <v>38747</v>
      </c>
      <c r="C45" s="13">
        <v>1</v>
      </c>
      <c r="D45" s="12">
        <v>39304</v>
      </c>
      <c r="E45" s="13" t="s">
        <v>1490</v>
      </c>
      <c r="F45" s="13"/>
      <c r="G45" s="13"/>
      <c r="H45" s="13"/>
      <c r="I45" s="13"/>
      <c r="J45" s="13"/>
      <c r="K45" s="13"/>
      <c r="L45" s="13"/>
      <c r="M45" s="13"/>
      <c r="N45" s="13"/>
      <c r="O45" s="15" t="str">
        <f>HYPERLINK("mailto:Celeste.Parker@fda.hhs.gov","Celeste Parker")</f>
        <v>Celeste Parker</v>
      </c>
    </row>
    <row r="46" spans="1:15" ht="30" x14ac:dyDescent="0.25">
      <c r="A46" s="11" t="str">
        <f>HYPERLINK("http://www.mckinneytexas.org/frameset.asp?aid=144","City of McKinney")</f>
        <v>City of McKinney</v>
      </c>
      <c r="B46" s="12">
        <v>38747</v>
      </c>
      <c r="C46" s="13">
        <v>2</v>
      </c>
      <c r="D46" s="12">
        <v>40499</v>
      </c>
      <c r="E46" s="13" t="s">
        <v>1494</v>
      </c>
      <c r="F46" s="13"/>
      <c r="G46" s="13"/>
      <c r="H46" s="13"/>
      <c r="I46" s="13"/>
      <c r="J46" s="13"/>
      <c r="K46" s="13"/>
      <c r="L46" s="13"/>
      <c r="M46" s="13"/>
      <c r="N46" s="14" t="str">
        <f>HYPERLINK("mailto:rmilam@mckinneytexas.org","Richard Milam")</f>
        <v>Richard Milam</v>
      </c>
      <c r="O46" s="15" t="str">
        <f>HYPERLINK("mailto:Celeste.Parker@fda.hhs.gov","Celeste Parker")</f>
        <v>Celeste Parker</v>
      </c>
    </row>
    <row r="47" spans="1:15" ht="30" x14ac:dyDescent="0.25">
      <c r="A47" s="6" t="str">
        <f>HYPERLINK("http://www.cityofmesquite.com/","City of Mesquite")</f>
        <v>City of Mesquite</v>
      </c>
      <c r="B47" s="7">
        <v>39850</v>
      </c>
      <c r="C47" s="8">
        <v>1</v>
      </c>
      <c r="D47" s="7">
        <v>38898</v>
      </c>
      <c r="E47" s="8" t="s">
        <v>1495</v>
      </c>
      <c r="F47" s="8"/>
      <c r="G47" s="8"/>
      <c r="H47" s="8"/>
      <c r="I47" s="8"/>
      <c r="J47" s="8"/>
      <c r="K47" s="8"/>
      <c r="L47" s="8"/>
      <c r="M47" s="8"/>
      <c r="N47" s="9" t="str">
        <f>HYPERLINK("mailto:bjenkins@cityofmesquite.com","Barry Jenkins")</f>
        <v>Barry Jenkins</v>
      </c>
      <c r="O47" s="10" t="str">
        <f>HYPERLINK("mailto:Celeste.Parker@fda.hhs.gov","Celeste Parker")</f>
        <v>Celeste Parker</v>
      </c>
    </row>
    <row r="48" spans="1:15" ht="30" x14ac:dyDescent="0.25">
      <c r="A48" s="11" t="str">
        <f>HYPERLINK("http://www.missiontexas.us/","City of Mission")</f>
        <v>City of Mission</v>
      </c>
      <c r="B48" s="12">
        <v>39009</v>
      </c>
      <c r="C48" s="13">
        <v>1</v>
      </c>
      <c r="D48" s="12">
        <v>39423</v>
      </c>
      <c r="E48" s="13" t="s">
        <v>1496</v>
      </c>
      <c r="F48" s="13"/>
      <c r="G48" s="13"/>
      <c r="H48" s="13"/>
      <c r="I48" s="13"/>
      <c r="J48" s="13"/>
      <c r="K48" s="13"/>
      <c r="L48" s="13"/>
      <c r="M48" s="13"/>
      <c r="N48" s="14" t="str">
        <f>HYPERLINK("mailto:nbarrera@missiontexas.us","Noel Barrerra")</f>
        <v>Noel Barrerra</v>
      </c>
      <c r="O48" s="15" t="str">
        <f>HYPERLINK("mailto:Celeste.Parker@fda.hhs.gov","Celeste Parker")</f>
        <v>Celeste Parker</v>
      </c>
    </row>
    <row r="49" spans="1:15" ht="30" x14ac:dyDescent="0.25">
      <c r="A49" s="6" t="str">
        <f>HYPERLINK("http://www.mpcity.net/index.aspx?NID=108","City of Mount Pleasant - Code Enforcement")</f>
        <v>City of Mount Pleasant - Code Enforcement</v>
      </c>
      <c r="B49" s="7">
        <v>42438</v>
      </c>
      <c r="C49" s="8">
        <v>1</v>
      </c>
      <c r="D49" s="8"/>
      <c r="E49" s="8"/>
      <c r="F49" s="8"/>
      <c r="G49" s="8"/>
      <c r="H49" s="8"/>
      <c r="I49" s="8"/>
      <c r="J49" s="8"/>
      <c r="K49" s="8"/>
      <c r="L49" s="8"/>
      <c r="M49" s="8"/>
      <c r="N49" s="9" t="str">
        <f>HYPERLINK("mailto:mjones@mpcity.org","Michael Jones")</f>
        <v>Michael Jones</v>
      </c>
      <c r="O49" s="10" t="str">
        <f>HYPERLINK("mailto:Celeste.Parker@fda.hhs.gov","Celeste Parker")</f>
        <v>Celeste Parker</v>
      </c>
    </row>
    <row r="50" spans="1:15" ht="30" x14ac:dyDescent="0.25">
      <c r="A50" s="11" t="str">
        <f>HYPERLINK("http://www.ci.nacogdoches.tx.us/","City of Nacogdoches Health Department")</f>
        <v>City of Nacogdoches Health Department</v>
      </c>
      <c r="B50" s="12">
        <v>37131</v>
      </c>
      <c r="C50" s="13">
        <v>1</v>
      </c>
      <c r="D50" s="12">
        <v>37834</v>
      </c>
      <c r="E50" s="13"/>
      <c r="F50" s="13"/>
      <c r="G50" s="13"/>
      <c r="H50" s="13"/>
      <c r="I50" s="13"/>
      <c r="J50" s="13"/>
      <c r="K50" s="13"/>
      <c r="L50" s="13"/>
      <c r="M50" s="13"/>
      <c r="N50" s="14" t="str">
        <f>HYPERLINK("mailto:hammettk@ci.nacogdoches.tx.us","Kevin Hammett")</f>
        <v>Kevin Hammett</v>
      </c>
      <c r="O50" s="15" t="str">
        <f>HYPERLINK("mailto:Celeste.Parker@fda.hhs.gov","Celeste Parker")</f>
        <v>Celeste Parker</v>
      </c>
    </row>
    <row r="51" spans="1:15" ht="30" x14ac:dyDescent="0.25">
      <c r="A51" s="6" t="str">
        <f>HYPERLINK("http://www.nrhtx.com/dept_health_food.aspx","City of North Richland Hills")</f>
        <v>City of North Richland Hills</v>
      </c>
      <c r="B51" s="7">
        <v>39904</v>
      </c>
      <c r="C51" s="8">
        <v>1</v>
      </c>
      <c r="D51" s="7">
        <v>40211</v>
      </c>
      <c r="E51" s="8" t="s">
        <v>1497</v>
      </c>
      <c r="F51" s="8"/>
      <c r="G51" s="8"/>
      <c r="H51" s="8"/>
      <c r="I51" s="8"/>
      <c r="J51" s="8"/>
      <c r="K51" s="8"/>
      <c r="L51" s="8"/>
      <c r="M51" s="8"/>
      <c r="N51" s="9" t="str">
        <f>HYPERLINK("mailto:seast@nrhtx.com","Stephanie East")</f>
        <v>Stephanie East</v>
      </c>
      <c r="O51" s="10" t="str">
        <f>HYPERLINK("mailto:Celeste.Parker@fda.hhs.gov","Celeste Parker")</f>
        <v>Celeste Parker</v>
      </c>
    </row>
    <row r="52" spans="1:15" ht="30" x14ac:dyDescent="0.25">
      <c r="A52" s="11" t="str">
        <f>HYPERLINK("http://www.pharr-tx.gov/departments/community-planning-development/health-safety-division","City of Pharr")</f>
        <v>City of Pharr</v>
      </c>
      <c r="B52" s="12">
        <v>41612</v>
      </c>
      <c r="C52" s="13">
        <v>1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4" t="str">
        <f>HYPERLINK("mailto:herb.longoria@pharr-tx.gov","Heriberto Longoria")</f>
        <v>Heriberto Longoria</v>
      </c>
      <c r="O52" s="15" t="str">
        <f>HYPERLINK("mailto:Celeste.Parker@fda.hhs.gov","Celeste Parker")</f>
        <v>Celeste Parker</v>
      </c>
    </row>
    <row r="53" spans="1:15" ht="30" x14ac:dyDescent="0.25">
      <c r="A53" s="6" t="str">
        <f>HYPERLINK("http://www.plano.gov/index.aspx?nid=201","City of Plano Environmental Health Department")</f>
        <v>City of Plano Environmental Health Department</v>
      </c>
      <c r="B53" s="7">
        <v>37131</v>
      </c>
      <c r="C53" s="8">
        <v>1</v>
      </c>
      <c r="D53" s="7">
        <v>37419</v>
      </c>
      <c r="E53" s="8"/>
      <c r="F53" s="8"/>
      <c r="G53" s="8" t="s">
        <v>1498</v>
      </c>
      <c r="H53" s="8" t="s">
        <v>1498</v>
      </c>
      <c r="I53" s="8" t="s">
        <v>1498</v>
      </c>
      <c r="J53" s="8" t="s">
        <v>1499</v>
      </c>
      <c r="K53" s="8" t="s">
        <v>1498</v>
      </c>
      <c r="L53" s="8"/>
      <c r="M53" s="8"/>
      <c r="N53" s="9" t="str">
        <f>HYPERLINK("mailto:slong@addisontx.gov","Sandra Long")</f>
        <v>Sandra Long</v>
      </c>
      <c r="O53" s="10" t="str">
        <f>HYPERLINK("mailto:Celeste.Parker@fda.hhs.gov","Celeste Parker")</f>
        <v>Celeste Parker</v>
      </c>
    </row>
    <row r="54" spans="1:15" ht="30" x14ac:dyDescent="0.25">
      <c r="A54" s="6" t="str">
        <f>HYPERLINK("http://www.plano.gov/index.aspx?nid=201","City of Plano Environmental Health Department")</f>
        <v>City of Plano Environmental Health Department</v>
      </c>
      <c r="B54" s="7">
        <v>37131</v>
      </c>
      <c r="C54" s="8">
        <v>2</v>
      </c>
      <c r="D54" s="7">
        <v>40359</v>
      </c>
      <c r="E54" s="8"/>
      <c r="F54" s="8"/>
      <c r="G54" s="8" t="s">
        <v>406</v>
      </c>
      <c r="H54" s="8"/>
      <c r="I54" s="8" t="s">
        <v>406</v>
      </c>
      <c r="J54" s="8"/>
      <c r="K54" s="8" t="s">
        <v>1500</v>
      </c>
      <c r="L54" s="8"/>
      <c r="M54" s="8"/>
      <c r="N54" s="9" t="str">
        <f>HYPERLINK("mailto:slong@addisontx.gov","Sandra Long")</f>
        <v>Sandra Long</v>
      </c>
      <c r="O54" s="10" t="str">
        <f>HYPERLINK("mailto:Celeste.Parker@fda.hhs.gov","Celeste Parker")</f>
        <v>Celeste Parker</v>
      </c>
    </row>
    <row r="55" spans="1:15" ht="30" x14ac:dyDescent="0.25">
      <c r="A55" s="6" t="str">
        <f>HYPERLINK("http://www.plano.gov/index.aspx?nid=201","City of Plano Environmental Health Department")</f>
        <v>City of Plano Environmental Health Department</v>
      </c>
      <c r="B55" s="7">
        <v>37131</v>
      </c>
      <c r="C55" s="8">
        <v>3</v>
      </c>
      <c r="D55" s="7">
        <v>42269</v>
      </c>
      <c r="E55" s="8"/>
      <c r="F55" s="8"/>
      <c r="G55" s="8" t="s">
        <v>1501</v>
      </c>
      <c r="H55" s="8" t="s">
        <v>1502</v>
      </c>
      <c r="I55" s="8" t="s">
        <v>1501</v>
      </c>
      <c r="J55" s="8"/>
      <c r="K55" s="8" t="s">
        <v>1501</v>
      </c>
      <c r="L55" s="8"/>
      <c r="M55" s="8"/>
      <c r="N55" s="9" t="str">
        <f>HYPERLINK("mailto:slong@addisontx.gov","Sandra Long")</f>
        <v>Sandra Long</v>
      </c>
      <c r="O55" s="10" t="str">
        <f>HYPERLINK("mailto:Celeste.Parker@fda.hhs.gov","Celeste Parker")</f>
        <v>Celeste Parker</v>
      </c>
    </row>
    <row r="56" spans="1:15" ht="30" x14ac:dyDescent="0.25">
      <c r="A56" s="11" t="str">
        <f>HYPERLINK("http://www.portarthurtx.gov/213/Health-Department","City of Port Arthur Health Department")</f>
        <v>City of Port Arthur Health Department</v>
      </c>
      <c r="B56" s="12">
        <v>42123</v>
      </c>
      <c r="C56" s="13">
        <v>1</v>
      </c>
      <c r="D56" s="12">
        <v>42997</v>
      </c>
      <c r="E56" s="13"/>
      <c r="F56" s="13"/>
      <c r="G56" s="13"/>
      <c r="H56" s="13" t="s">
        <v>59</v>
      </c>
      <c r="I56" s="13"/>
      <c r="J56" s="13"/>
      <c r="K56" s="13"/>
      <c r="L56" s="13"/>
      <c r="M56" s="13"/>
      <c r="N56" s="14" t="str">
        <f>HYPERLINK("mailto:lacy.brown@portarthurtx.gov","Lacy Brown")</f>
        <v>Lacy Brown</v>
      </c>
      <c r="O56" s="15" t="str">
        <f>HYPERLINK("mailto:Celeste.Parker@fda.hhs.gov","Celeste Parker")</f>
        <v>Celeste Parker</v>
      </c>
    </row>
    <row r="57" spans="1:15" ht="30" x14ac:dyDescent="0.25">
      <c r="A57" s="6" t="str">
        <f>HYPERLINK("http://www.cor.net/","City of Richardson")</f>
        <v>City of Richardson</v>
      </c>
      <c r="B57" s="7">
        <v>38526</v>
      </c>
      <c r="C57" s="8">
        <v>1</v>
      </c>
      <c r="D57" s="7">
        <v>38874</v>
      </c>
      <c r="E57" s="8" t="s">
        <v>1503</v>
      </c>
      <c r="F57" s="8" t="s">
        <v>1503</v>
      </c>
      <c r="G57" s="8" t="s">
        <v>1503</v>
      </c>
      <c r="H57" s="8"/>
      <c r="I57" s="8"/>
      <c r="J57" s="8" t="s">
        <v>1503</v>
      </c>
      <c r="K57" s="8"/>
      <c r="L57" s="8"/>
      <c r="M57" s="8"/>
      <c r="N57" s="9" t="str">
        <f>HYPERLINK("mailto:bill.alsup@cor.gov","Bill Alsup")</f>
        <v>Bill Alsup</v>
      </c>
      <c r="O57" s="10" t="str">
        <f>HYPERLINK("mailto:Celeste.Parker@fda.hhs.gov","Celeste Parker")</f>
        <v>Celeste Parker</v>
      </c>
    </row>
    <row r="58" spans="1:15" ht="30" x14ac:dyDescent="0.25">
      <c r="A58" s="11" t="str">
        <f>HYPERLINK("http://www.rowlett.com/index.aspx?NID=156","City of Rowlett-Environmental Services")</f>
        <v>City of Rowlett-Environmental Services</v>
      </c>
      <c r="B58" s="12">
        <v>42690</v>
      </c>
      <c r="C58" s="13">
        <v>1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4" t="str">
        <f>HYPERLINK("mailto:cdumas@rowlett.com","Chuck Dumas")</f>
        <v>Chuck Dumas</v>
      </c>
      <c r="O58" s="15" t="str">
        <f>HYPERLINK("mailto:Celeste.Parker@fda.hhs.gov","Celeste Parker")</f>
        <v>Celeste Parker</v>
      </c>
    </row>
    <row r="59" spans="1:15" ht="30" x14ac:dyDescent="0.25">
      <c r="A59" s="6" t="str">
        <f>HYPERLINK("http://www.sanangelotexas.org/","City of San Angelo")</f>
        <v>City of San Angelo</v>
      </c>
      <c r="B59" s="7">
        <v>38602</v>
      </c>
      <c r="C59" s="8">
        <v>1</v>
      </c>
      <c r="D59" s="7">
        <v>38986</v>
      </c>
      <c r="E59" s="8" t="s">
        <v>1504</v>
      </c>
      <c r="F59" s="8"/>
      <c r="G59" s="8"/>
      <c r="H59" s="8"/>
      <c r="I59" s="8"/>
      <c r="J59" s="8"/>
      <c r="K59" s="8"/>
      <c r="L59" s="8"/>
      <c r="M59" s="8"/>
      <c r="N59" s="9" t="str">
        <f>HYPERLINK("mailto:sandra.villarreal@sanangelotexas.us","Sandra Villarreal")</f>
        <v>Sandra Villarreal</v>
      </c>
      <c r="O59" s="10" t="str">
        <f>HYPERLINK("mailto:Celeste.Parker@fda.hhs.gov","Celeste Parker")</f>
        <v>Celeste Parker</v>
      </c>
    </row>
    <row r="60" spans="1:15" ht="45" x14ac:dyDescent="0.25">
      <c r="A60" s="11" t="str">
        <f>HYPERLINK("http://www.myspi.org/department/?fDD=5-0","City of South Padre Island - Environmental Health Services")</f>
        <v>City of South Padre Island - Environmental Health Services</v>
      </c>
      <c r="B60" s="12">
        <v>38933</v>
      </c>
      <c r="C60" s="13">
        <v>1</v>
      </c>
      <c r="D60" s="12">
        <v>39304</v>
      </c>
      <c r="E60" s="13" t="s">
        <v>1490</v>
      </c>
      <c r="F60" s="13"/>
      <c r="G60" s="13"/>
      <c r="H60" s="13"/>
      <c r="I60" s="13"/>
      <c r="J60" s="13"/>
      <c r="K60" s="13"/>
      <c r="L60" s="13"/>
      <c r="M60" s="13"/>
      <c r="N60" s="14" t="str">
        <f>HYPERLINK("mailto:vbaldovinos@myspi.org","Victor Baldovinos")</f>
        <v>Victor Baldovinos</v>
      </c>
      <c r="O60" s="15" t="str">
        <f>HYPERLINK("mailto:Celeste.Parker@fda.hhs.gov","Celeste Parker")</f>
        <v>Celeste Parker</v>
      </c>
    </row>
    <row r="61" spans="1:15" ht="45" x14ac:dyDescent="0.25">
      <c r="A61" s="11" t="str">
        <f>HYPERLINK("http://www.myspi.org/department/?fDD=5-0","City of South Padre Island - Environmental Health Services")</f>
        <v>City of South Padre Island - Environmental Health Services</v>
      </c>
      <c r="B61" s="12">
        <v>38933</v>
      </c>
      <c r="C61" s="13">
        <v>2</v>
      </c>
      <c r="D61" s="12">
        <v>41397</v>
      </c>
      <c r="E61" s="13"/>
      <c r="F61" s="13"/>
      <c r="G61" s="13"/>
      <c r="H61" s="13" t="s">
        <v>1505</v>
      </c>
      <c r="I61" s="13"/>
      <c r="J61" s="13"/>
      <c r="K61" s="13" t="s">
        <v>1506</v>
      </c>
      <c r="L61" s="13"/>
      <c r="M61" s="13"/>
      <c r="N61" s="14" t="str">
        <f>HYPERLINK("mailto:vbaldovinos@myspi.org","Victor Baldovinos")</f>
        <v>Victor Baldovinos</v>
      </c>
      <c r="O61" s="15" t="str">
        <f>HYPERLINK("mailto:Celeste.Parker@fda.hhs.gov","Celeste Parker")</f>
        <v>Celeste Parker</v>
      </c>
    </row>
    <row r="62" spans="1:15" ht="30" x14ac:dyDescent="0.25">
      <c r="A62" s="6" t="str">
        <f>HYPERLINK("http://www.staffordtx.gov/","City of Stafford Health Department")</f>
        <v>City of Stafford Health Department</v>
      </c>
      <c r="B62" s="7">
        <v>42682</v>
      </c>
      <c r="C62" s="8">
        <v>1</v>
      </c>
      <c r="D62" s="8"/>
      <c r="E62" s="8"/>
      <c r="F62" s="8"/>
      <c r="G62" s="8"/>
      <c r="H62" s="8"/>
      <c r="I62" s="8"/>
      <c r="J62" s="8"/>
      <c r="K62" s="8"/>
      <c r="L62" s="8"/>
      <c r="M62" s="8"/>
      <c r="N62" s="9" t="str">
        <f>HYPERLINK("mailto:mfouts@cityofstafford.com","Marcia Fouts")</f>
        <v>Marcia Fouts</v>
      </c>
      <c r="O62" s="10" t="str">
        <f>HYPERLINK("mailto:Celeste.Parker@fda.hhs.gov","Celeste Parker")</f>
        <v>Celeste Parker</v>
      </c>
    </row>
    <row r="63" spans="1:15" ht="30" x14ac:dyDescent="0.25">
      <c r="A63" s="11" t="str">
        <f>HYPERLINK("http://www.stephenvilletx.gov/","City of Stephenville")</f>
        <v>City of Stephenville</v>
      </c>
      <c r="B63" s="12">
        <v>42233</v>
      </c>
      <c r="C63" s="13">
        <v>1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4" t="str">
        <f>HYPERLINK("mailto:JFinney@stephenvilletx.gov","Jimmy Finney")</f>
        <v>Jimmy Finney</v>
      </c>
      <c r="O63" s="15" t="str">
        <f>HYPERLINK("mailto:Celeste.Parker@fda.hhs.gov","Celeste Parker")</f>
        <v>Celeste Parker</v>
      </c>
    </row>
    <row r="64" spans="1:15" ht="30" x14ac:dyDescent="0.25">
      <c r="A64" s="6" t="str">
        <f>HYPERLINK("http://www.sulphurspringstx.org/","City of Sulphur Springs")</f>
        <v>City of Sulphur Springs</v>
      </c>
      <c r="B64" s="7">
        <v>41814</v>
      </c>
      <c r="C64" s="8">
        <v>1</v>
      </c>
      <c r="D64" s="8"/>
      <c r="E64" s="8"/>
      <c r="F64" s="8"/>
      <c r="G64" s="8"/>
      <c r="H64" s="8"/>
      <c r="I64" s="8"/>
      <c r="J64" s="8"/>
      <c r="K64" s="8"/>
      <c r="L64" s="8"/>
      <c r="M64" s="8"/>
      <c r="N64" s="9" t="str">
        <f>HYPERLINK("mailto:sshepard@sulphurspringstx.org","Shane Shepard")</f>
        <v>Shane Shepard</v>
      </c>
      <c r="O64" s="10" t="str">
        <f>HYPERLINK("mailto:Celeste.Parker@fda.hhs.gov","Celeste Parker")</f>
        <v>Celeste Parker</v>
      </c>
    </row>
    <row r="65" spans="1:15" ht="30" x14ac:dyDescent="0.25">
      <c r="A65" s="11" t="str">
        <f>HYPERLINK("https://www.thecolonytx.gov/364/Health","City of the Colony")</f>
        <v>City of the Colony</v>
      </c>
      <c r="B65" s="12">
        <v>38259</v>
      </c>
      <c r="C65" s="13">
        <v>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 t="s">
        <v>1507</v>
      </c>
      <c r="O65" s="15" t="str">
        <f>HYPERLINK("mailto:Celeste.Parker@fda.hhs.gov","Celeste Parker")</f>
        <v>Celeste Parker</v>
      </c>
    </row>
    <row r="66" spans="1:15" ht="30" x14ac:dyDescent="0.25">
      <c r="A66" s="6" t="str">
        <f>HYPERLINK("http://www.uctx.gov/health","City of Universal City - Code Enforcement")</f>
        <v>City of Universal City - Code Enforcement</v>
      </c>
      <c r="B66" s="7">
        <v>42153</v>
      </c>
      <c r="C66" s="8">
        <v>1</v>
      </c>
      <c r="D66" s="8"/>
      <c r="E66" s="8"/>
      <c r="F66" s="8"/>
      <c r="G66" s="8"/>
      <c r="H66" s="8"/>
      <c r="I66" s="8"/>
      <c r="J66" s="8"/>
      <c r="K66" s="8"/>
      <c r="L66" s="8"/>
      <c r="M66" s="8"/>
      <c r="N66" s="9" t="str">
        <f>HYPERLINK("mailto:health@uctx.gov","Anabell Maldonado")</f>
        <v>Anabell Maldonado</v>
      </c>
      <c r="O66" s="10" t="str">
        <f>HYPERLINK("mailto:Celeste.Parker@fda.hhs.gov","Celeste Parker")</f>
        <v>Celeste Parker</v>
      </c>
    </row>
    <row r="67" spans="1:15" ht="30" x14ac:dyDescent="0.25">
      <c r="A67" s="11" t="str">
        <f>HYPERLINK("http://www.ci.weatherford.tx.us/","City of Weatherford")</f>
        <v>City of Weatherford</v>
      </c>
      <c r="B67" s="12">
        <v>38933</v>
      </c>
      <c r="C67" s="13">
        <v>1</v>
      </c>
      <c r="D67" s="12">
        <v>39304</v>
      </c>
      <c r="E67" s="13" t="s">
        <v>1490</v>
      </c>
      <c r="F67" s="13"/>
      <c r="G67" s="13"/>
      <c r="H67" s="13"/>
      <c r="I67" s="13"/>
      <c r="J67" s="13"/>
      <c r="K67" s="13"/>
      <c r="L67" s="13"/>
      <c r="M67" s="13"/>
      <c r="N67" s="13"/>
      <c r="O67" s="15" t="str">
        <f>HYPERLINK("mailto:Celeste.Parker@fda.hhs.gov","Celeste Parker")</f>
        <v>Celeste Parker</v>
      </c>
    </row>
    <row r="68" spans="1:15" ht="30" x14ac:dyDescent="0.25">
      <c r="A68" s="6" t="str">
        <f>HYPERLINK("http://www.weslacotx.gov/","City of Weslaco")</f>
        <v>City of Weslaco</v>
      </c>
      <c r="B68" s="7">
        <v>38924</v>
      </c>
      <c r="C68" s="8">
        <v>1</v>
      </c>
      <c r="D68" s="8"/>
      <c r="E68" s="8"/>
      <c r="F68" s="8"/>
      <c r="G68" s="8"/>
      <c r="H68" s="8"/>
      <c r="I68" s="8"/>
      <c r="J68" s="8"/>
      <c r="K68" s="8"/>
      <c r="L68" s="8"/>
      <c r="M68" s="8"/>
      <c r="N68" s="9" t="str">
        <f>HYPERLINK("mailto:sestrada@weslacotx.gov","Steve Estrada")</f>
        <v>Steve Estrada</v>
      </c>
      <c r="O68" s="10" t="str">
        <f>HYPERLINK("mailto:Celeste.Parker@fda.hhs.gov","Celeste Parker")</f>
        <v>Celeste Parker</v>
      </c>
    </row>
    <row r="69" spans="1:15" ht="30" x14ac:dyDescent="0.25">
      <c r="A69" s="11" t="str">
        <f>HYPERLINK("http://www.cctexas.com/","Corpus Christi City - County Health Department")</f>
        <v>Corpus Christi City - County Health Department</v>
      </c>
      <c r="B69" s="12">
        <v>39009</v>
      </c>
      <c r="C69" s="13">
        <v>1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 t="s">
        <v>1508</v>
      </c>
      <c r="O69" s="15" t="str">
        <f>HYPERLINK("mailto:Celeste.Parker@fda.hhs.gov","Celeste Parker")</f>
        <v>Celeste Parker</v>
      </c>
    </row>
    <row r="70" spans="1:15" ht="30" x14ac:dyDescent="0.25">
      <c r="A70" s="28" t="s">
        <v>1509</v>
      </c>
      <c r="B70" s="7">
        <v>38827</v>
      </c>
      <c r="C70" s="8">
        <v>1</v>
      </c>
      <c r="D70" s="7">
        <v>39174</v>
      </c>
      <c r="E70" s="8" t="s">
        <v>1105</v>
      </c>
      <c r="F70" s="8"/>
      <c r="G70" s="8"/>
      <c r="H70" s="8"/>
      <c r="I70" s="8"/>
      <c r="J70" s="8"/>
      <c r="K70" s="8" t="s">
        <v>1105</v>
      </c>
      <c r="L70" s="8"/>
      <c r="M70" s="8"/>
      <c r="N70" s="9" t="str">
        <f>HYPERLINK("mailto:tjenkins@dallascounty.org","Anthony Jenkins")</f>
        <v>Anthony Jenkins</v>
      </c>
      <c r="O70" s="10" t="str">
        <f>HYPERLINK("mailto:Celeste.Parker@fda.hhs.gov","Celeste Parker")</f>
        <v>Celeste Parker</v>
      </c>
    </row>
    <row r="71" spans="1:15" ht="30" x14ac:dyDescent="0.25">
      <c r="A71" s="11" t="str">
        <f>HYPERLINK("http://www.co.ector.tx.us/health_dept/ECHD%20Cover%20Page.htm","Ector County Health Department")</f>
        <v>Ector County Health Department</v>
      </c>
      <c r="B71" s="12">
        <v>39175</v>
      </c>
      <c r="C71" s="13">
        <v>1</v>
      </c>
      <c r="D71" s="12">
        <v>39337</v>
      </c>
      <c r="E71" s="13"/>
      <c r="F71" s="13"/>
      <c r="G71" s="13"/>
      <c r="H71" s="13"/>
      <c r="I71" s="13"/>
      <c r="J71" s="13"/>
      <c r="K71" s="13"/>
      <c r="L71" s="13"/>
      <c r="M71" s="13"/>
      <c r="N71" s="13" t="s">
        <v>1510</v>
      </c>
      <c r="O71" s="15" t="str">
        <f>HYPERLINK("mailto:Celeste.Parker@fda.hhs.gov","Celeste Parker")</f>
        <v>Celeste Parker</v>
      </c>
    </row>
    <row r="72" spans="1:15" ht="30" x14ac:dyDescent="0.25">
      <c r="A72" s="11" t="str">
        <f>HYPERLINK("http://www.co.ector.tx.us/health_dept/ECHD%20Cover%20Page.htm","Ector County Health Department")</f>
        <v>Ector County Health Department</v>
      </c>
      <c r="B72" s="12">
        <v>39175</v>
      </c>
      <c r="C72" s="13">
        <v>2</v>
      </c>
      <c r="D72" s="12">
        <v>40433</v>
      </c>
      <c r="E72" s="13" t="s">
        <v>1511</v>
      </c>
      <c r="F72" s="13"/>
      <c r="G72" s="13"/>
      <c r="H72" s="13"/>
      <c r="I72" s="13"/>
      <c r="J72" s="13"/>
      <c r="K72" s="13"/>
      <c r="L72" s="13"/>
      <c r="M72" s="13"/>
      <c r="N72" s="13" t="s">
        <v>1510</v>
      </c>
      <c r="O72" s="15" t="str">
        <f>HYPERLINK("mailto:Celeste.Parker@fda.hhs.gov","Celeste Parker")</f>
        <v>Celeste Parker</v>
      </c>
    </row>
    <row r="73" spans="1:15" ht="30" x14ac:dyDescent="0.25">
      <c r="A73" s="6" t="str">
        <f>HYPERLINK("http://www.gchd.org/ech/consumer.htm","Galveston County Health District")</f>
        <v>Galveston County Health District</v>
      </c>
      <c r="B73" s="7">
        <v>38484</v>
      </c>
      <c r="C73" s="8">
        <v>1</v>
      </c>
      <c r="D73" s="7">
        <v>38894</v>
      </c>
      <c r="E73" s="8" t="s">
        <v>1512</v>
      </c>
      <c r="F73" s="8"/>
      <c r="G73" s="8"/>
      <c r="H73" s="8"/>
      <c r="I73" s="8"/>
      <c r="J73" s="8"/>
      <c r="K73" s="8" t="s">
        <v>1512</v>
      </c>
      <c r="L73" s="8"/>
      <c r="M73" s="8"/>
      <c r="N73" s="9" t="str">
        <f>HYPERLINK("mailto:mentringer@gchd.org","Martin Entringer")</f>
        <v>Martin Entringer</v>
      </c>
      <c r="O73" s="10" t="str">
        <f>HYPERLINK("mailto:Celeste.Parker@fda.hhs.gov","Celeste Parker")</f>
        <v>Celeste Parker</v>
      </c>
    </row>
    <row r="74" spans="1:15" ht="30" x14ac:dyDescent="0.25">
      <c r="A74" s="11" t="str">
        <f>HYPERLINK("http://www.co.grayson.tx.us/","Grayson County Health Department")</f>
        <v>Grayson County Health Department</v>
      </c>
      <c r="B74" s="12">
        <v>38678</v>
      </c>
      <c r="C74" s="13">
        <v>1</v>
      </c>
      <c r="D74" s="12">
        <v>39050</v>
      </c>
      <c r="E74" s="13" t="s">
        <v>1513</v>
      </c>
      <c r="F74" s="13"/>
      <c r="G74" s="13"/>
      <c r="H74" s="13"/>
      <c r="I74" s="13"/>
      <c r="J74" s="13"/>
      <c r="K74" s="13" t="s">
        <v>1513</v>
      </c>
      <c r="L74" s="13"/>
      <c r="M74" s="13"/>
      <c r="N74" s="14" t="str">
        <f>HYPERLINK("mailto:wardm@co.grayson.tx.us","Marshall Ward")</f>
        <v>Marshall Ward</v>
      </c>
      <c r="O74" s="15" t="str">
        <f>HYPERLINK("mailto:Celeste.Parker@fda.hhs.gov","Celeste Parker")</f>
        <v>Celeste Parker</v>
      </c>
    </row>
    <row r="75" spans="1:15" ht="30" x14ac:dyDescent="0.25">
      <c r="A75" s="28" t="s">
        <v>1514</v>
      </c>
      <c r="B75" s="7">
        <v>42914</v>
      </c>
      <c r="C75" s="8">
        <v>1</v>
      </c>
      <c r="D75" s="7">
        <v>43279</v>
      </c>
      <c r="E75" s="8"/>
      <c r="F75" s="8"/>
      <c r="G75" s="8"/>
      <c r="H75" s="8"/>
      <c r="I75" s="8"/>
      <c r="J75" s="8"/>
      <c r="K75" s="8"/>
      <c r="L75" s="8"/>
      <c r="M75" s="8"/>
      <c r="N75" s="9" t="str">
        <f>HYPERLINK("mailto:rejena.bolton@co.hardin.tx.us","ReJena Bolton")</f>
        <v>ReJena Bolton</v>
      </c>
      <c r="O75" s="10" t="str">
        <f>HYPERLINK("mailto:Celeste.Parker@fda.hhs.gov","Celeste Parker")</f>
        <v>Celeste Parker</v>
      </c>
    </row>
    <row r="76" spans="1:15" ht="30" x14ac:dyDescent="0.25">
      <c r="A76" s="11" t="str">
        <f>HYPERLINK("http://www.hcphes.org/eph/foodmain.htm","Harris County Public Health and Environmental Services")</f>
        <v>Harris County Public Health and Environmental Services</v>
      </c>
      <c r="B76" s="12">
        <v>37160</v>
      </c>
      <c r="C76" s="13">
        <v>1</v>
      </c>
      <c r="D76" s="12">
        <v>37673</v>
      </c>
      <c r="E76" s="13" t="s">
        <v>1515</v>
      </c>
      <c r="F76" s="13"/>
      <c r="G76" s="13"/>
      <c r="H76" s="13"/>
      <c r="I76" s="13"/>
      <c r="J76" s="13"/>
      <c r="K76" s="13"/>
      <c r="L76" s="13"/>
      <c r="M76" s="13"/>
      <c r="N76" s="14" t="str">
        <f>HYPERLINK("mailto:dcopeland@hcphes.org","Deanna Copeland")</f>
        <v>Deanna Copeland</v>
      </c>
      <c r="O76" s="15" t="str">
        <f>HYPERLINK("mailto:Celeste.Parker@fda.hhs.gov","Celeste Parker")</f>
        <v>Celeste Parker</v>
      </c>
    </row>
    <row r="77" spans="1:15" ht="30" x14ac:dyDescent="0.25">
      <c r="A77" s="11" t="str">
        <f>HYPERLINK("http://www.hcphes.org/eph/foodmain.htm","Harris County Public Health and Environmental Services")</f>
        <v>Harris County Public Health and Environmental Services</v>
      </c>
      <c r="B77" s="12">
        <v>37160</v>
      </c>
      <c r="C77" s="13">
        <v>2</v>
      </c>
      <c r="D77" s="12">
        <v>40346</v>
      </c>
      <c r="E77" s="13" t="s">
        <v>1516</v>
      </c>
      <c r="F77" s="13" t="s">
        <v>1517</v>
      </c>
      <c r="G77" s="13"/>
      <c r="H77" s="13" t="s">
        <v>1518</v>
      </c>
      <c r="I77" s="13" t="s">
        <v>1519</v>
      </c>
      <c r="J77" s="13"/>
      <c r="K77" s="13" t="s">
        <v>1518</v>
      </c>
      <c r="L77" s="13"/>
      <c r="M77" s="13"/>
      <c r="N77" s="14" t="str">
        <f>HYPERLINK("mailto:dcopeland@hcphes.org","Deanna Copeland")</f>
        <v>Deanna Copeland</v>
      </c>
      <c r="O77" s="15" t="str">
        <f>HYPERLINK("mailto:Celeste.Parker@fda.hhs.gov","Celeste Parker")</f>
        <v>Celeste Parker</v>
      </c>
    </row>
    <row r="78" spans="1:15" ht="30" x14ac:dyDescent="0.25">
      <c r="A78" s="11" t="str">
        <f>HYPERLINK("http://www.hcphes.org/eph/foodmain.htm","Harris County Public Health and Environmental Services")</f>
        <v>Harris County Public Health and Environmental Services</v>
      </c>
      <c r="B78" s="12">
        <v>37160</v>
      </c>
      <c r="C78" s="13">
        <v>3</v>
      </c>
      <c r="D78" s="12">
        <v>42258</v>
      </c>
      <c r="E78" s="13" t="s">
        <v>1520</v>
      </c>
      <c r="F78" s="13" t="s">
        <v>1521</v>
      </c>
      <c r="G78" s="13" t="s">
        <v>1522</v>
      </c>
      <c r="H78" s="13" t="s">
        <v>1523</v>
      </c>
      <c r="I78" s="13" t="s">
        <v>1524</v>
      </c>
      <c r="J78" s="13" t="s">
        <v>1523</v>
      </c>
      <c r="K78" s="13" t="s">
        <v>1525</v>
      </c>
      <c r="L78" s="13"/>
      <c r="M78" s="13" t="s">
        <v>1525</v>
      </c>
      <c r="N78" s="14" t="str">
        <f>HYPERLINK("mailto:dcopeland@hcphes.org","Deanna Copeland")</f>
        <v>Deanna Copeland</v>
      </c>
      <c r="O78" s="15" t="str">
        <f>HYPERLINK("mailto:Celeste.Parker@fda.hhs.gov","Celeste Parker")</f>
        <v>Celeste Parker</v>
      </c>
    </row>
    <row r="79" spans="1:15" ht="30" x14ac:dyDescent="0.25">
      <c r="A79" s="6" t="str">
        <f>HYPERLINK("http://www.hchd.com/","Hidalgo County Health Department")</f>
        <v>Hidalgo County Health Department</v>
      </c>
      <c r="B79" s="7">
        <v>39059</v>
      </c>
      <c r="C79" s="8">
        <v>1</v>
      </c>
      <c r="D79" s="8"/>
      <c r="E79" s="8"/>
      <c r="F79" s="8"/>
      <c r="G79" s="8"/>
      <c r="H79" s="8"/>
      <c r="I79" s="8"/>
      <c r="J79" s="8"/>
      <c r="K79" s="8"/>
      <c r="L79" s="8"/>
      <c r="M79" s="8"/>
      <c r="N79" s="9" t="str">
        <f>HYPERLINK("mailto:rufino.farias@hchd.org","Rufino Farias")</f>
        <v>Rufino Farias</v>
      </c>
      <c r="O79" s="10" t="str">
        <f>HYPERLINK("mailto:Celeste.Parker@fda.hhs.gov","Celeste Parker")</f>
        <v>Celeste Parker</v>
      </c>
    </row>
    <row r="80" spans="1:15" ht="30" x14ac:dyDescent="0.25">
      <c r="A80" s="29" t="s">
        <v>1526</v>
      </c>
      <c r="B80" s="12">
        <v>42935</v>
      </c>
      <c r="C80" s="13">
        <v>1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4" t="str">
        <f>HYPERLINK("mailto:aberry@jaspernewton.org","Angela Berry")</f>
        <v>Angela Berry</v>
      </c>
      <c r="O80" s="15" t="str">
        <f>HYPERLINK("mailto:Celeste.Parker@fda.hhs.gov","Celeste Parker")</f>
        <v>Celeste Parker</v>
      </c>
    </row>
    <row r="81" spans="1:15" ht="30" x14ac:dyDescent="0.25">
      <c r="A81" s="6" t="str">
        <f>HYPERLINK("http://www.cityofkingsville.com/","Kingville Kleberg City-County Health Department")</f>
        <v>Kingville Kleberg City-County Health Department</v>
      </c>
      <c r="B81" s="7">
        <v>39427</v>
      </c>
      <c r="C81" s="8">
        <v>1</v>
      </c>
      <c r="D81" s="8"/>
      <c r="E81" s="8"/>
      <c r="F81" s="8"/>
      <c r="G81" s="8"/>
      <c r="H81" s="8"/>
      <c r="I81" s="8"/>
      <c r="J81" s="8"/>
      <c r="K81" s="8"/>
      <c r="L81" s="8"/>
      <c r="M81" s="8"/>
      <c r="N81" s="9" t="str">
        <f>HYPERLINK("mailto:jtorres@cityofkingsville.com","Jason C. Torres")</f>
        <v>Jason C. Torres</v>
      </c>
      <c r="O81" s="10" t="str">
        <f>HYPERLINK("mailto:Celeste.Parker@fda.hhs.gov","Celeste Parker")</f>
        <v>Celeste Parker</v>
      </c>
    </row>
    <row r="82" spans="1:15" ht="30" x14ac:dyDescent="0.25">
      <c r="A82" s="11" t="str">
        <f>HYPERLINK("http://www.co.live-oak.tx.us/","Live Oak County Health Department")</f>
        <v>Live Oak County Health Department</v>
      </c>
      <c r="B82" s="12">
        <v>42954</v>
      </c>
      <c r="C82" s="13">
        <v>1</v>
      </c>
      <c r="D82" s="12">
        <v>43283</v>
      </c>
      <c r="E82" s="13"/>
      <c r="F82" s="13"/>
      <c r="G82" s="13"/>
      <c r="H82" s="13"/>
      <c r="I82" s="13"/>
      <c r="J82" s="13"/>
      <c r="K82" s="13"/>
      <c r="L82" s="13"/>
      <c r="M82" s="13"/>
      <c r="N82" s="14" t="str">
        <f>HYPERLINK("mailto:tcrowe@co.live-oak.tx.us","Tina Crowe")</f>
        <v>Tina Crowe</v>
      </c>
      <c r="O82" s="15" t="str">
        <f>HYPERLINK("mailto:Celeste.Parker@fda.hhs.gov","Celeste Parker")</f>
        <v>Celeste Parker</v>
      </c>
    </row>
    <row r="83" spans="1:15" ht="30" x14ac:dyDescent="0.25">
      <c r="A83" s="6" t="str">
        <f>HYPERLINK("http://www.ci.midland.tx.us/","Midland Health and Senior Services")</f>
        <v>Midland Health and Senior Services</v>
      </c>
      <c r="B83" s="7">
        <v>38475</v>
      </c>
      <c r="C83" s="8">
        <v>1</v>
      </c>
      <c r="D83" s="7">
        <v>38898</v>
      </c>
      <c r="E83" s="8"/>
      <c r="F83" s="8"/>
      <c r="G83" s="8"/>
      <c r="H83" s="8"/>
      <c r="I83" s="8"/>
      <c r="J83" s="8"/>
      <c r="K83" s="8"/>
      <c r="L83" s="8"/>
      <c r="M83" s="8"/>
      <c r="N83" s="9" t="str">
        <f>HYPERLINK("mailto:cgarcia@midlandtexas.gov","Celestino Garcia")</f>
        <v>Celestino Garcia</v>
      </c>
      <c r="O83" s="10" t="str">
        <f>HYPERLINK("mailto:Celeste.Parker@fda.hhs.gov","Celeste Parker")</f>
        <v>Celeste Parker</v>
      </c>
    </row>
    <row r="84" spans="1:15" ht="45" x14ac:dyDescent="0.25">
      <c r="A84" s="11" t="str">
        <f>HYPERLINK("http://www.montgomerycounty.gov/hhs/","Montgomery County Environmental Health Service")</f>
        <v>Montgomery County Environmental Health Service</v>
      </c>
      <c r="B84" s="12">
        <v>38392</v>
      </c>
      <c r="C84" s="13">
        <v>1</v>
      </c>
      <c r="D84" s="12">
        <v>38869</v>
      </c>
      <c r="E84" s="13"/>
      <c r="F84" s="13"/>
      <c r="G84" s="13"/>
      <c r="H84" s="13"/>
      <c r="I84" s="13"/>
      <c r="J84" s="13"/>
      <c r="K84" s="13"/>
      <c r="L84" s="13"/>
      <c r="M84" s="13"/>
      <c r="N84" s="14" t="str">
        <f>HYPERLINK("mailto:Russell.Obrien@mctx.org","Russell O Brien")</f>
        <v>Russell O Brien</v>
      </c>
      <c r="O84" s="15" t="str">
        <f>HYPERLINK("mailto:Celeste.Parker@fda.hhs.gov","Celeste Parker")</f>
        <v>Celeste Parker</v>
      </c>
    </row>
    <row r="85" spans="1:15" ht="45" x14ac:dyDescent="0.25">
      <c r="A85" s="11" t="str">
        <f>HYPERLINK("http://www.montgomerycounty.gov/hhs/","Montgomery County Environmental Health Service")</f>
        <v>Montgomery County Environmental Health Service</v>
      </c>
      <c r="B85" s="12">
        <v>38392</v>
      </c>
      <c r="C85" s="13">
        <v>2</v>
      </c>
      <c r="D85" s="12">
        <v>40359</v>
      </c>
      <c r="E85" s="13" t="s">
        <v>406</v>
      </c>
      <c r="F85" s="13"/>
      <c r="G85" s="13"/>
      <c r="H85" s="13"/>
      <c r="I85" s="13"/>
      <c r="J85" s="13" t="s">
        <v>406</v>
      </c>
      <c r="K85" s="13" t="s">
        <v>406</v>
      </c>
      <c r="L85" s="13"/>
      <c r="M85" s="13"/>
      <c r="N85" s="14" t="str">
        <f>HYPERLINK("mailto:Russell.Obrien@mctx.org","Russell O Brien")</f>
        <v>Russell O Brien</v>
      </c>
      <c r="O85" s="15" t="str">
        <f>HYPERLINK("mailto:Celeste.Parker@fda.hhs.gov","Celeste Parker")</f>
        <v>Celeste Parker</v>
      </c>
    </row>
    <row r="86" spans="1:15" ht="30" x14ac:dyDescent="0.25">
      <c r="A86" s="6" t="str">
        <f>HYPERLINK("http://www.netchd.org/","Northeast Texas Public Health District")</f>
        <v>Northeast Texas Public Health District</v>
      </c>
      <c r="B86" s="7">
        <v>38930</v>
      </c>
      <c r="C86" s="8">
        <v>1</v>
      </c>
      <c r="D86" s="7">
        <v>41639</v>
      </c>
      <c r="E86" s="8"/>
      <c r="F86" s="8"/>
      <c r="G86" s="8"/>
      <c r="H86" s="8"/>
      <c r="I86" s="8"/>
      <c r="J86" s="8"/>
      <c r="K86" s="8" t="s">
        <v>813</v>
      </c>
      <c r="L86" s="8"/>
      <c r="M86" s="8"/>
      <c r="N86" s="9" t="str">
        <f>HYPERLINK("mailto:gpoints@netphd.org","Ginger Points")</f>
        <v>Ginger Points</v>
      </c>
      <c r="O86" s="10" t="str">
        <f>HYPERLINK("mailto:Celeste.Parker@fda.hhs.gov","Celeste Parker")</f>
        <v>Celeste Parker</v>
      </c>
    </row>
    <row r="87" spans="1:15" ht="30" x14ac:dyDescent="0.25">
      <c r="A87" s="11" t="str">
        <f>HYPERLINK("http://www.co.orange.tx.us/","Orange County Health and Code Compliance")</f>
        <v>Orange County Health and Code Compliance</v>
      </c>
      <c r="B87" s="12">
        <v>39121</v>
      </c>
      <c r="C87" s="13">
        <v>1</v>
      </c>
      <c r="D87" s="12">
        <v>43333</v>
      </c>
      <c r="E87" s="13"/>
      <c r="F87" s="13"/>
      <c r="G87" s="13"/>
      <c r="H87" s="13"/>
      <c r="I87" s="13"/>
      <c r="J87" s="13"/>
      <c r="K87" s="13"/>
      <c r="L87" s="13"/>
      <c r="M87" s="13"/>
      <c r="N87" s="14" t="str">
        <f>HYPERLINK("mailto:jscales@co.orange.tx.us","James Scales")</f>
        <v>James Scales</v>
      </c>
      <c r="O87" s="15" t="str">
        <f>HYPERLINK("mailto:Celeste.Parker@fda.hhs.gov","Celeste Parker")</f>
        <v>Celeste Parker</v>
      </c>
    </row>
    <row r="88" spans="1:15" ht="30" x14ac:dyDescent="0.25">
      <c r="A88" s="6" t="str">
        <f>HYPERLINK("http://www.sanantonio.gov/health/FoodSanitation/","San Antonio Metro Health District")</f>
        <v>San Antonio Metro Health District</v>
      </c>
      <c r="B88" s="7">
        <v>38491</v>
      </c>
      <c r="C88" s="8">
        <v>1</v>
      </c>
      <c r="D88" s="7">
        <v>40129</v>
      </c>
      <c r="E88" s="8" t="s">
        <v>1527</v>
      </c>
      <c r="F88" s="8"/>
      <c r="G88" s="8"/>
      <c r="H88" s="8"/>
      <c r="I88" s="8" t="s">
        <v>1527</v>
      </c>
      <c r="J88" s="8"/>
      <c r="K88" s="8" t="s">
        <v>1527</v>
      </c>
      <c r="L88" s="8"/>
      <c r="M88" s="8"/>
      <c r="N88" s="9" t="str">
        <f>HYPERLINK("mailto:stephen.barscewski@sanantonio.gov","Steve Barscewski")</f>
        <v>Steve Barscewski</v>
      </c>
      <c r="O88" s="10" t="str">
        <f>HYPERLINK("mailto:Celeste.Parker@fda.hhs.gov","Celeste Parker")</f>
        <v>Celeste Parker</v>
      </c>
    </row>
    <row r="89" spans="1:15" ht="30" x14ac:dyDescent="0.25">
      <c r="A89" s="11" t="str">
        <f>HYPERLINK("http://www.co.san-patricio.tx.us/","San Patricio County Department of Health")</f>
        <v>San Patricio County Department of Health</v>
      </c>
      <c r="B89" s="12">
        <v>42160</v>
      </c>
      <c r="C89" s="13">
        <v>1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4" t="str">
        <f>HYPERLINK("mailto:thomas.touchstone@co.san-patricio.tx.us","Thomas Touchstone")</f>
        <v>Thomas Touchstone</v>
      </c>
      <c r="O89" s="15" t="str">
        <f>HYPERLINK("mailto:Celeste.Parker@fda.hhs.gov","Celeste Parker")</f>
        <v>Celeste Parker</v>
      </c>
    </row>
    <row r="90" spans="1:15" ht="30" x14ac:dyDescent="0.25">
      <c r="A90" s="6" t="str">
        <f>HYPERLINK("http://www.southplainshealth.org/","South Plains Public Health District")</f>
        <v>South Plains Public Health District</v>
      </c>
      <c r="B90" s="7">
        <v>40947</v>
      </c>
      <c r="C90" s="8">
        <v>1</v>
      </c>
      <c r="D90" s="8"/>
      <c r="E90" s="8"/>
      <c r="F90" s="8"/>
      <c r="G90" s="8"/>
      <c r="H90" s="8"/>
      <c r="I90" s="8"/>
      <c r="J90" s="8"/>
      <c r="K90" s="8"/>
      <c r="L90" s="8"/>
      <c r="M90" s="8"/>
      <c r="N90" s="9" t="str">
        <f>HYPERLINK("mailto:zholbrooks@spphd.org","Zach Holbrooks")</f>
        <v>Zach Holbrooks</v>
      </c>
      <c r="O90" s="10" t="str">
        <f>HYPERLINK("mailto:Celeste.Parker@fda.hhs.gov","Celeste Parker")</f>
        <v>Celeste Parker</v>
      </c>
    </row>
    <row r="91" spans="1:15" ht="30" x14ac:dyDescent="0.25">
      <c r="A91" s="11" t="str">
        <f>HYPERLINK("http://www.tarrantcounty.com/eHealth/site/default.asp","Tarrant County Public Health Department")</f>
        <v>Tarrant County Public Health Department</v>
      </c>
      <c r="B91" s="12">
        <v>39184</v>
      </c>
      <c r="C91" s="13">
        <v>1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4" t="str">
        <f>HYPERLINK("mailto:dgJefferson@tarrantcounty.com","David Jefferson")</f>
        <v>David Jefferson</v>
      </c>
      <c r="O91" s="15" t="str">
        <f>HYPERLINK("mailto:Celeste.Parker@fda.hhs.gov","Celeste Parker")</f>
        <v>Celeste Parker</v>
      </c>
    </row>
    <row r="92" spans="1:15" ht="60" x14ac:dyDescent="0.25">
      <c r="A92" s="6" t="str">
        <f>HYPERLINK("http://www.dshs.state.tx.us/foodestablishments/aboutus.shtm","Texas Department of State Health Services - Public Sanitation and Retail Food Safety")</f>
        <v>Texas Department of State Health Services - Public Sanitation and Retail Food Safety</v>
      </c>
      <c r="B92" s="7">
        <v>38141</v>
      </c>
      <c r="C92" s="8">
        <v>1</v>
      </c>
      <c r="D92" s="7">
        <v>38554</v>
      </c>
      <c r="E92" s="8" t="s">
        <v>1528</v>
      </c>
      <c r="F92" s="8" t="s">
        <v>1528</v>
      </c>
      <c r="G92" s="8" t="s">
        <v>1529</v>
      </c>
      <c r="H92" s="8"/>
      <c r="I92" s="8" t="s">
        <v>1530</v>
      </c>
      <c r="J92" s="8"/>
      <c r="K92" s="8" t="s">
        <v>1528</v>
      </c>
      <c r="L92" s="8"/>
      <c r="M92" s="8"/>
      <c r="N92" s="9" t="str">
        <f>HYPERLINK("mailto:Christopher.Sparks@houstontx.gov","Christopher Sparks")</f>
        <v>Christopher Sparks</v>
      </c>
      <c r="O92" s="10" t="str">
        <f>HYPERLINK("mailto:Celeste.Parker@fda.hhs.gov","Celeste Parker")</f>
        <v>Celeste Parker</v>
      </c>
    </row>
    <row r="93" spans="1:15" ht="60" x14ac:dyDescent="0.25">
      <c r="A93" s="6" t="str">
        <f>HYPERLINK("http://www.dshs.state.tx.us/foodestablishments/aboutus.shtm","Texas Department of State Health Services - Public Sanitation and Retail Food Safety")</f>
        <v>Texas Department of State Health Services - Public Sanitation and Retail Food Safety</v>
      </c>
      <c r="B93" s="7">
        <v>38141</v>
      </c>
      <c r="C93" s="8">
        <v>2</v>
      </c>
      <c r="D93" s="7">
        <v>39983</v>
      </c>
      <c r="E93" s="8"/>
      <c r="F93" s="8"/>
      <c r="G93" s="8"/>
      <c r="H93" s="8"/>
      <c r="I93" s="8"/>
      <c r="J93" s="8"/>
      <c r="K93" s="8"/>
      <c r="L93" s="8"/>
      <c r="M93" s="8"/>
      <c r="N93" s="9" t="str">
        <f>HYPERLINK("mailto:Christopher.Sparks@houstontx.gov","Christopher Sparks")</f>
        <v>Christopher Sparks</v>
      </c>
      <c r="O93" s="10" t="str">
        <f>HYPERLINK("mailto:Celeste.Parker@fda.hhs.gov","Celeste Parker")</f>
        <v>Celeste Parker</v>
      </c>
    </row>
    <row r="94" spans="1:15" ht="60" x14ac:dyDescent="0.25">
      <c r="A94" s="6" t="str">
        <f>HYPERLINK("http://www.dshs.state.tx.us/foodestablishments/aboutus.shtm","Texas Department of State Health Services - Public Sanitation and Retail Food Safety")</f>
        <v>Texas Department of State Health Services - Public Sanitation and Retail Food Safety</v>
      </c>
      <c r="B94" s="7">
        <v>38141</v>
      </c>
      <c r="C94" s="8">
        <v>3</v>
      </c>
      <c r="D94" s="7">
        <v>41719</v>
      </c>
      <c r="E94" s="8" t="s">
        <v>1531</v>
      </c>
      <c r="F94" s="8" t="s">
        <v>1532</v>
      </c>
      <c r="G94" s="8" t="s">
        <v>1532</v>
      </c>
      <c r="H94" s="8" t="s">
        <v>1532</v>
      </c>
      <c r="I94" s="8" t="s">
        <v>1532</v>
      </c>
      <c r="J94" s="8" t="s">
        <v>1532</v>
      </c>
      <c r="K94" s="8" t="s">
        <v>1532</v>
      </c>
      <c r="L94" s="8"/>
      <c r="M94" s="8"/>
      <c r="N94" s="9" t="str">
        <f>HYPERLINK("mailto:cheryl.wilson@dshs.state.tx.us","Cheryl Wilson")</f>
        <v>Cheryl Wilson</v>
      </c>
      <c r="O94" s="10" t="str">
        <f>HYPERLINK("mailto:Celeste.Parker@fda.hhs.gov","Celeste Parker")</f>
        <v>Celeste Parker</v>
      </c>
    </row>
    <row r="95" spans="1:15" ht="30" x14ac:dyDescent="0.25">
      <c r="A95" s="29" t="s">
        <v>1533</v>
      </c>
      <c r="B95" s="12">
        <v>43369</v>
      </c>
      <c r="C95" s="13">
        <v>1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5" t="str">
        <f>HYPERLINK("mailto:Celeste.Parker@fda.hhs.gov","Celeste Parker")</f>
        <v>Celeste Parker</v>
      </c>
    </row>
    <row r="96" spans="1:15" ht="30" x14ac:dyDescent="0.25">
      <c r="A96" s="6" t="str">
        <f>HYPERLINK("http://www.flower-mound.com/index.aspx?nid=128","Town of Flower Mound - Envm. Health")</f>
        <v>Town of Flower Mound - Envm. Health</v>
      </c>
      <c r="B96" s="7">
        <v>42220</v>
      </c>
      <c r="C96" s="8">
        <v>1</v>
      </c>
      <c r="D96" s="7">
        <v>42390</v>
      </c>
      <c r="E96" s="8"/>
      <c r="F96" s="8"/>
      <c r="G96" s="8"/>
      <c r="H96" s="8"/>
      <c r="I96" s="8"/>
      <c r="J96" s="8"/>
      <c r="K96" s="8"/>
      <c r="L96" s="8"/>
      <c r="M96" s="8"/>
      <c r="N96" s="9" t="str">
        <f>HYPERLINK("mailto:tom.vyles@flower-mound.com","Tom Vyles")</f>
        <v>Tom Vyles</v>
      </c>
      <c r="O96" s="10" t="str">
        <f>HYPERLINK("mailto:Celeste.Parker@fda.hhs.gov","Celeste Parker")</f>
        <v>Celeste Parker</v>
      </c>
    </row>
    <row r="97" spans="1:15" ht="30" x14ac:dyDescent="0.25">
      <c r="A97" s="11" t="str">
        <f>HYPERLINK("http://www.wichitafallstx.gov/index.aspx","Wichita Falls - Wichita County Public Health District")</f>
        <v>Wichita Falls - Wichita County Public Health District</v>
      </c>
      <c r="B97" s="12">
        <v>39402</v>
      </c>
      <c r="C97" s="13">
        <v>1</v>
      </c>
      <c r="D97" s="12">
        <v>40966</v>
      </c>
      <c r="E97" s="13" t="s">
        <v>1534</v>
      </c>
      <c r="F97" s="13" t="s">
        <v>1535</v>
      </c>
      <c r="G97" s="13"/>
      <c r="H97" s="13" t="s">
        <v>1536</v>
      </c>
      <c r="I97" s="13"/>
      <c r="J97" s="13"/>
      <c r="K97" s="13" t="s">
        <v>1537</v>
      </c>
      <c r="L97" s="13"/>
      <c r="M97" s="13"/>
      <c r="N97" s="14" t="str">
        <f>HYPERLINK("mailto:susan.morris@wichitafallstx.gov","Susan Morris")</f>
        <v>Susan Morris</v>
      </c>
      <c r="O97" s="15" t="str">
        <f>HYPERLINK("mailto:Celeste.Parker@fda.hhs.gov","Celeste Parker")</f>
        <v>Celeste Parker</v>
      </c>
    </row>
    <row r="98" spans="1:15" ht="30" x14ac:dyDescent="0.25">
      <c r="A98" s="11" t="str">
        <f>HYPERLINK("http://www.wichitafallstx.gov/index.aspx","Wichita Falls - Wichita County Public Health District")</f>
        <v>Wichita Falls - Wichita County Public Health District</v>
      </c>
      <c r="B98" s="12">
        <v>39402</v>
      </c>
      <c r="C98" s="13">
        <v>2</v>
      </c>
      <c r="D98" s="12">
        <v>42062</v>
      </c>
      <c r="E98" s="13"/>
      <c r="F98" s="13" t="s">
        <v>1538</v>
      </c>
      <c r="G98" s="13"/>
      <c r="H98" s="13" t="s">
        <v>1539</v>
      </c>
      <c r="I98" s="13"/>
      <c r="J98" s="13"/>
      <c r="K98" s="13" t="s">
        <v>1540</v>
      </c>
      <c r="L98" s="13"/>
      <c r="M98" s="13"/>
      <c r="N98" s="14" t="str">
        <f>HYPERLINK("mailto:susan.morris@wichitafallstx.gov","Susan Morris")</f>
        <v>Susan Morris</v>
      </c>
      <c r="O98" s="15" t="str">
        <f>HYPERLINK("mailto:Celeste.Parker@fda.hhs.gov","Celeste Parker")</f>
        <v>Celeste Parker</v>
      </c>
    </row>
    <row r="99" spans="1:15" ht="60" x14ac:dyDescent="0.25">
      <c r="A99" s="6" t="str">
        <f>HYPERLINK("http://www.wcchd.org/services/food_and_restaurant/index.php","Williamson County and Cities Health District - Environmental Health Services")</f>
        <v>Williamson County and Cities Health District - Environmental Health Services</v>
      </c>
      <c r="B99" s="7">
        <v>39141</v>
      </c>
      <c r="C99" s="8">
        <v>1</v>
      </c>
      <c r="D99" s="7">
        <v>39452</v>
      </c>
      <c r="E99" s="8" t="s">
        <v>1541</v>
      </c>
      <c r="F99" s="8" t="s">
        <v>1542</v>
      </c>
      <c r="G99" s="8"/>
      <c r="H99" s="8"/>
      <c r="I99" s="8"/>
      <c r="J99" s="8"/>
      <c r="K99" s="8"/>
      <c r="L99" s="8"/>
      <c r="M99" s="8"/>
      <c r="N99" s="9" t="str">
        <f>HYPERLINK("mailto:kkelley@wcchd.org","Kay Kelley")</f>
        <v>Kay Kelley</v>
      </c>
      <c r="O99" s="10" t="str">
        <f>HYPERLINK("mailto:Celeste.Parker@fda.hhs.gov","Celeste Parker")</f>
        <v>Celeste Parker</v>
      </c>
    </row>
    <row r="100" spans="1:15" ht="60" x14ac:dyDescent="0.25">
      <c r="A100" s="16" t="str">
        <f>HYPERLINK("http://www.wcchd.org/services/food_and_restaurant/index.php","Williamson County and Cities Health District - Environmental Health Services")</f>
        <v>Williamson County and Cities Health District - Environmental Health Services</v>
      </c>
      <c r="B100" s="17">
        <v>39141</v>
      </c>
      <c r="C100" s="18">
        <v>2</v>
      </c>
      <c r="D100" s="17">
        <v>42489</v>
      </c>
      <c r="E100" s="18" t="s">
        <v>1543</v>
      </c>
      <c r="F100" s="18" t="s">
        <v>1544</v>
      </c>
      <c r="G100" s="18"/>
      <c r="H100" s="18"/>
      <c r="I100" s="18"/>
      <c r="J100" s="18"/>
      <c r="K100" s="18" t="s">
        <v>1544</v>
      </c>
      <c r="L100" s="18"/>
      <c r="M100" s="18"/>
      <c r="N100" s="19" t="str">
        <f>HYPERLINK("mailto:kkelley@wcchd.org","Kay Kelley")</f>
        <v>Kay Kelley</v>
      </c>
      <c r="O100" s="20" t="str">
        <f>HYPERLINK("mailto:Celeste.Parker@fda.hhs.gov","Celeste Parker")</f>
        <v>Celeste Parker</v>
      </c>
    </row>
  </sheetData>
  <pageMargins left="0.15" right="0.15" top="0.25" bottom="0.25" header="0.05" footer="0.05"/>
  <pageSetup orientation="landscape" r:id="rId1"/>
  <tableParts count="1">
    <tablePart r:id="rId2"/>
  </tablePart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EECF2-D3B4-44D3-9579-3C4590F42D27}">
  <sheetPr>
    <pageSetUpPr fitToPage="1"/>
  </sheetPr>
  <dimension ref="A1:O24"/>
  <sheetViews>
    <sheetView workbookViewId="0"/>
  </sheetViews>
  <sheetFormatPr defaultRowHeight="15" x14ac:dyDescent="0.25"/>
  <cols>
    <col min="1" max="1" width="33.7109375" customWidth="1"/>
    <col min="2" max="2" width="14.85546875" customWidth="1"/>
    <col min="3" max="3" width="18.42578125" customWidth="1"/>
    <col min="4" max="4" width="22" customWidth="1"/>
    <col min="5" max="13" width="17.28515625" customWidth="1"/>
    <col min="14" max="14" width="14.85546875" customWidth="1"/>
    <col min="15" max="15" width="13.140625" customWidth="1"/>
  </cols>
  <sheetData>
    <row r="1" spans="1:15" x14ac:dyDescent="0.25">
      <c r="A1" t="s">
        <v>1592</v>
      </c>
      <c r="B1" s="2" t="str">
        <f>HYPERLINK("#Introduction!A1","Back to Introduction Page")</f>
        <v>Back to Introduction Page</v>
      </c>
    </row>
    <row r="2" spans="1:15" x14ac:dyDescent="0.25">
      <c r="A2" s="21" t="s">
        <v>1593</v>
      </c>
    </row>
    <row r="3" spans="1:15" ht="45" x14ac:dyDescent="0.25">
      <c r="A3" s="4" t="s">
        <v>15</v>
      </c>
      <c r="B3" s="3" t="s">
        <v>16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21</v>
      </c>
      <c r="H3" s="3" t="s">
        <v>22</v>
      </c>
      <c r="I3" s="3" t="s">
        <v>23</v>
      </c>
      <c r="J3" s="3" t="s">
        <v>24</v>
      </c>
      <c r="K3" s="3" t="s">
        <v>25</v>
      </c>
      <c r="L3" s="3" t="s">
        <v>26</v>
      </c>
      <c r="M3" s="3" t="s">
        <v>27</v>
      </c>
      <c r="N3" s="3" t="s">
        <v>28</v>
      </c>
      <c r="O3" s="5" t="s">
        <v>29</v>
      </c>
    </row>
    <row r="4" spans="1:15" ht="30" x14ac:dyDescent="0.25">
      <c r="A4" s="6" t="str">
        <f>HYPERLINK("http://www.brhd.org/","Bear River Health Department")</f>
        <v>Bear River Health Department</v>
      </c>
      <c r="B4" s="7">
        <v>40252</v>
      </c>
      <c r="C4" s="8">
        <v>1</v>
      </c>
      <c r="D4" s="7">
        <v>40675</v>
      </c>
      <c r="E4" s="8" t="s">
        <v>1547</v>
      </c>
      <c r="F4" s="8" t="s">
        <v>1548</v>
      </c>
      <c r="G4" s="8" t="s">
        <v>1549</v>
      </c>
      <c r="H4" s="8"/>
      <c r="I4" s="8"/>
      <c r="J4" s="8"/>
      <c r="K4" s="8"/>
      <c r="L4" s="8"/>
      <c r="M4" s="8"/>
      <c r="N4" s="9" t="str">
        <f>HYPERLINK("mailto:eripplinger@brhd.org","Eric Ripplinger")</f>
        <v>Eric Ripplinger</v>
      </c>
      <c r="O4" s="10" t="str">
        <f>HYPERLINK("mailto:Mario.Seminara@fda.hhs.gov","Mario Seminara")</f>
        <v>Mario Seminara</v>
      </c>
    </row>
    <row r="5" spans="1:15" ht="30" x14ac:dyDescent="0.25">
      <c r="A5" s="11" t="str">
        <f>HYPERLINK("http://www.centralutahpublichealth.com/","Central Utah Public Health Department")</f>
        <v>Central Utah Public Health Department</v>
      </c>
      <c r="B5" s="12">
        <v>41317</v>
      </c>
      <c r="C5" s="13">
        <v>1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4" t="str">
        <f>HYPERLINK("mailto:nselin@utah.gov","Nathan Selin")</f>
        <v>Nathan Selin</v>
      </c>
      <c r="O5" s="15" t="str">
        <f>HYPERLINK("mailto:Mario.Seminara@fda.hhs.gov","Mario Seminara")</f>
        <v>Mario Seminara</v>
      </c>
    </row>
    <row r="6" spans="1:15" ht="30" x14ac:dyDescent="0.25">
      <c r="A6" s="6" t="str">
        <f>HYPERLINK("http://www.co.davis.ut.us/health/environmental/default.cfm","Davis County Health Department")</f>
        <v>Davis County Health Department</v>
      </c>
      <c r="B6" s="7">
        <v>38635</v>
      </c>
      <c r="C6" s="8">
        <v>1</v>
      </c>
      <c r="D6" s="7">
        <v>40027</v>
      </c>
      <c r="E6" s="8" t="s">
        <v>1550</v>
      </c>
      <c r="F6" s="8"/>
      <c r="G6" s="8"/>
      <c r="H6" s="8"/>
      <c r="I6" s="8"/>
      <c r="J6" s="8"/>
      <c r="K6" s="8" t="s">
        <v>1550</v>
      </c>
      <c r="L6" s="8"/>
      <c r="M6" s="8"/>
      <c r="N6" s="8"/>
      <c r="O6" s="10" t="str">
        <f>HYPERLINK("mailto:Mario.Seminara@fda.hhs.gov","Mario Seminara")</f>
        <v>Mario Seminara</v>
      </c>
    </row>
    <row r="7" spans="1:15" ht="30" x14ac:dyDescent="0.25">
      <c r="A7" s="6" t="str">
        <f>HYPERLINK("http://www.co.davis.ut.us/health/environmental/default.cfm","Davis County Health Department")</f>
        <v>Davis County Health Department</v>
      </c>
      <c r="B7" s="7">
        <v>38635</v>
      </c>
      <c r="C7" s="8">
        <v>2</v>
      </c>
      <c r="D7" s="7">
        <v>42878</v>
      </c>
      <c r="E7" s="8" t="s">
        <v>1551</v>
      </c>
      <c r="F7" s="8" t="s">
        <v>1552</v>
      </c>
      <c r="G7" s="8"/>
      <c r="H7" s="8"/>
      <c r="I7" s="8" t="s">
        <v>1553</v>
      </c>
      <c r="J7" s="8"/>
      <c r="K7" s="8" t="s">
        <v>1552</v>
      </c>
      <c r="L7" s="8"/>
      <c r="M7" s="8"/>
      <c r="N7" s="9" t="str">
        <f>HYPERLINK("mailto:jsclark@co.davis.ut.us","Jay Clark")</f>
        <v>Jay Clark</v>
      </c>
      <c r="O7" s="10" t="str">
        <f>HYPERLINK("mailto:Mario.Seminara@fda.hhs.gov","Mario Seminara")</f>
        <v>Mario Seminara</v>
      </c>
    </row>
    <row r="8" spans="1:15" ht="30" x14ac:dyDescent="0.25">
      <c r="A8" s="11" t="str">
        <f>HYPERLINK("http://www.slvhealth.org/","Salt Lake County")</f>
        <v>Salt Lake County</v>
      </c>
      <c r="B8" s="12">
        <v>37133</v>
      </c>
      <c r="C8" s="13">
        <v>1</v>
      </c>
      <c r="D8" s="12">
        <v>37662</v>
      </c>
      <c r="E8" s="13" t="s">
        <v>1554</v>
      </c>
      <c r="F8" s="13"/>
      <c r="G8" s="13" t="s">
        <v>1555</v>
      </c>
      <c r="H8" s="13"/>
      <c r="I8" s="13" t="s">
        <v>1555</v>
      </c>
      <c r="J8" s="13"/>
      <c r="K8" s="13" t="s">
        <v>1555</v>
      </c>
      <c r="L8" s="13"/>
      <c r="M8" s="13"/>
      <c r="N8" s="14" t="str">
        <f>HYPERLINK("mailto:joaks@slco.org","Jeffrey Oaks")</f>
        <v>Jeffrey Oaks</v>
      </c>
      <c r="O8" s="15" t="str">
        <f>HYPERLINK("mailto:Mario.Seminara@fda.hhs.gov","Mario Seminara")</f>
        <v>Mario Seminara</v>
      </c>
    </row>
    <row r="9" spans="1:15" ht="30" x14ac:dyDescent="0.25">
      <c r="A9" s="28" t="s">
        <v>1556</v>
      </c>
      <c r="B9" s="7">
        <v>41934</v>
      </c>
      <c r="C9" s="8">
        <v>1</v>
      </c>
      <c r="D9" s="7">
        <v>43047</v>
      </c>
      <c r="E9" s="8" t="s">
        <v>1557</v>
      </c>
      <c r="F9" s="8" t="s">
        <v>1558</v>
      </c>
      <c r="G9" s="8" t="s">
        <v>1559</v>
      </c>
      <c r="H9" s="8"/>
      <c r="I9" s="8"/>
      <c r="J9" s="8"/>
      <c r="K9" s="8" t="s">
        <v>1560</v>
      </c>
      <c r="L9" s="8"/>
      <c r="M9" s="8"/>
      <c r="N9" s="9" t="str">
        <f>HYPERLINK("mailto:bbradfor@utah.gov","Bradon C. Bradford")</f>
        <v>Bradon C. Bradford</v>
      </c>
      <c r="O9" s="10" t="str">
        <f>HYPERLINK("mailto:Mario.Seminara@fda.hhs.gov","Mario Seminara")</f>
        <v>Mario Seminara</v>
      </c>
    </row>
    <row r="10" spans="1:15" ht="30" x14ac:dyDescent="0.25">
      <c r="A10" s="11" t="str">
        <f>HYPERLINK("http://www.swuhealth.org/","Southwest Utah Public Health Department")</f>
        <v>Southwest Utah Public Health Department</v>
      </c>
      <c r="B10" s="12">
        <v>41081</v>
      </c>
      <c r="C10" s="13">
        <v>1</v>
      </c>
      <c r="D10" s="12">
        <v>41085</v>
      </c>
      <c r="E10" s="13" t="s">
        <v>1561</v>
      </c>
      <c r="F10" s="13"/>
      <c r="G10" s="13" t="s">
        <v>1562</v>
      </c>
      <c r="H10" s="13"/>
      <c r="I10" s="13"/>
      <c r="J10" s="13"/>
      <c r="K10" s="13" t="s">
        <v>1562</v>
      </c>
      <c r="L10" s="13"/>
      <c r="M10" s="13"/>
      <c r="N10" s="14" t="str">
        <f>HYPERLINK("mailto:jroberts@swuhealth.org","Jeremy Roberts")</f>
        <v>Jeremy Roberts</v>
      </c>
      <c r="O10" s="15" t="str">
        <f>HYPERLINK("mailto:Mario.Seminara@fda.hhs.gov","Mario Seminara")</f>
        <v>Mario Seminara</v>
      </c>
    </row>
    <row r="11" spans="1:15" ht="30" x14ac:dyDescent="0.25">
      <c r="A11" s="6" t="str">
        <f>HYPERLINK("http://www.summitcountyhealth.org/","Summit County Health Department")</f>
        <v>Summit County Health Department</v>
      </c>
      <c r="B11" s="7">
        <v>40120</v>
      </c>
      <c r="C11" s="8">
        <v>1</v>
      </c>
      <c r="D11" s="7">
        <v>40120</v>
      </c>
      <c r="E11" s="8" t="s">
        <v>1563</v>
      </c>
      <c r="F11" s="8"/>
      <c r="G11" s="8"/>
      <c r="H11" s="8"/>
      <c r="I11" s="8"/>
      <c r="J11" s="8"/>
      <c r="K11" s="8"/>
      <c r="L11" s="8"/>
      <c r="M11" s="8"/>
      <c r="N11" s="8"/>
      <c r="O11" s="10" t="str">
        <f>HYPERLINK("mailto:Mario.Seminara@fda.hhs.gov","Mario Seminara")</f>
        <v>Mario Seminara</v>
      </c>
    </row>
    <row r="12" spans="1:15" ht="30" x14ac:dyDescent="0.25">
      <c r="A12" s="6" t="str">
        <f>HYPERLINK("http://www.summitcountyhealth.org/","Summit County Health Department")</f>
        <v>Summit County Health Department</v>
      </c>
      <c r="B12" s="7">
        <v>40120</v>
      </c>
      <c r="C12" s="8">
        <v>2</v>
      </c>
      <c r="D12" s="7">
        <v>42509</v>
      </c>
      <c r="E12" s="8" t="s">
        <v>1564</v>
      </c>
      <c r="F12" s="8" t="s">
        <v>1564</v>
      </c>
      <c r="G12" s="8"/>
      <c r="H12" s="8"/>
      <c r="I12" s="8"/>
      <c r="J12" s="8"/>
      <c r="K12" s="8" t="s">
        <v>1565</v>
      </c>
      <c r="L12" s="8" t="s">
        <v>1566</v>
      </c>
      <c r="M12" s="8"/>
      <c r="N12" s="9" t="str">
        <f>HYPERLINK("mailto:pbondurant@summitcounty.org","Philip Bondurant")</f>
        <v>Philip Bondurant</v>
      </c>
      <c r="O12" s="10" t="str">
        <f>HYPERLINK("mailto:Mario.Seminara@fda.hhs.gov","Mario Seminara")</f>
        <v>Mario Seminara</v>
      </c>
    </row>
    <row r="13" spans="1:15" ht="30" x14ac:dyDescent="0.25">
      <c r="A13" s="11" t="str">
        <f>HYPERLINK("http://tooelehealth.org/environmental-health/","Tooele County Health Department")</f>
        <v>Tooele County Health Department</v>
      </c>
      <c r="B13" s="12">
        <v>37714</v>
      </c>
      <c r="C13" s="13">
        <v>1</v>
      </c>
      <c r="D13" s="12">
        <v>38068</v>
      </c>
      <c r="E13" s="13" t="s">
        <v>1567</v>
      </c>
      <c r="F13" s="13"/>
      <c r="G13" s="13"/>
      <c r="H13" s="13"/>
      <c r="I13" s="13"/>
      <c r="J13" s="13"/>
      <c r="K13" s="13"/>
      <c r="L13" s="13"/>
      <c r="M13" s="13"/>
      <c r="N13" s="14" t="str">
        <f>HYPERLINK("mailto:wtolbert@tooelehealth.org","Wade Tolbert")</f>
        <v>Wade Tolbert</v>
      </c>
      <c r="O13" s="15" t="str">
        <f>HYPERLINK("mailto:Mario.Seminara@fda.hhs.gov","Mario Seminara")</f>
        <v>Mario Seminara</v>
      </c>
    </row>
    <row r="14" spans="1:15" ht="30" x14ac:dyDescent="0.25">
      <c r="A14" s="11" t="str">
        <f>HYPERLINK("http://tooelehealth.org/environmental-health/","Tooele County Health Department")</f>
        <v>Tooele County Health Department</v>
      </c>
      <c r="B14" s="12">
        <v>37714</v>
      </c>
      <c r="C14" s="13">
        <v>2</v>
      </c>
      <c r="D14" s="12">
        <v>40326</v>
      </c>
      <c r="E14" s="13" t="s">
        <v>1568</v>
      </c>
      <c r="F14" s="13"/>
      <c r="G14" s="13" t="s">
        <v>1569</v>
      </c>
      <c r="H14" s="13" t="s">
        <v>1569</v>
      </c>
      <c r="I14" s="13"/>
      <c r="J14" s="13"/>
      <c r="K14" s="13" t="s">
        <v>1570</v>
      </c>
      <c r="L14" s="13"/>
      <c r="M14" s="13"/>
      <c r="N14" s="14" t="str">
        <f>HYPERLINK("mailto:wtolbert@tooelehealth.org","Wade Tolbert")</f>
        <v>Wade Tolbert</v>
      </c>
      <c r="O14" s="15" t="str">
        <f>HYPERLINK("mailto:Mario.Seminara@fda.hhs.gov","Mario Seminara")</f>
        <v>Mario Seminara</v>
      </c>
    </row>
    <row r="15" spans="1:15" ht="30" x14ac:dyDescent="0.25">
      <c r="A15" s="11" t="str">
        <f>HYPERLINK("http://tooelehealth.org/environmental-health/","Tooele County Health Department")</f>
        <v>Tooele County Health Department</v>
      </c>
      <c r="B15" s="12">
        <v>37714</v>
      </c>
      <c r="C15" s="13">
        <v>3</v>
      </c>
      <c r="D15" s="12">
        <v>41905</v>
      </c>
      <c r="E15" s="13"/>
      <c r="F15" s="13"/>
      <c r="G15" s="13"/>
      <c r="H15" s="13" t="s">
        <v>1571</v>
      </c>
      <c r="I15" s="13"/>
      <c r="J15" s="13"/>
      <c r="K15" s="13"/>
      <c r="L15" s="13" t="s">
        <v>1571</v>
      </c>
      <c r="M15" s="13"/>
      <c r="N15" s="14" t="str">
        <f>HYPERLINK("mailto:wtolbert@tooelehealth.org","Wade Tolbert")</f>
        <v>Wade Tolbert</v>
      </c>
      <c r="O15" s="15" t="str">
        <f>HYPERLINK("mailto:Mario.Seminara@fda.hhs.gov","Mario Seminara")</f>
        <v>Mario Seminara</v>
      </c>
    </row>
    <row r="16" spans="1:15" ht="30" x14ac:dyDescent="0.25">
      <c r="A16" s="6" t="str">
        <f>HYPERLINK("http://www.utahcountyonline.org/","Utah County Health Department")</f>
        <v>Utah County Health Department</v>
      </c>
      <c r="B16" s="7">
        <v>37554</v>
      </c>
      <c r="C16" s="8">
        <v>1</v>
      </c>
      <c r="D16" s="7">
        <v>37881</v>
      </c>
      <c r="E16" s="8" t="s">
        <v>1572</v>
      </c>
      <c r="F16" s="8"/>
      <c r="G16" s="8"/>
      <c r="H16" s="8"/>
      <c r="I16" s="8"/>
      <c r="J16" s="8"/>
      <c r="K16" s="8"/>
      <c r="L16" s="8"/>
      <c r="M16" s="8"/>
      <c r="N16" s="9" t="str">
        <f>HYPERLINK("mailto:tylerp@utahcounty.gov","Tyler Plewe")</f>
        <v>Tyler Plewe</v>
      </c>
      <c r="O16" s="10" t="str">
        <f>HYPERLINK("mailto:Mario.Seminara@fda.hhs.gov","Mario Seminara")</f>
        <v>Mario Seminara</v>
      </c>
    </row>
    <row r="17" spans="1:15" ht="30" x14ac:dyDescent="0.25">
      <c r="A17" s="6" t="str">
        <f>HYPERLINK("http://www.utahcountyonline.org/","Utah County Health Department")</f>
        <v>Utah County Health Department</v>
      </c>
      <c r="B17" s="7">
        <v>37554</v>
      </c>
      <c r="C17" s="8">
        <v>2</v>
      </c>
      <c r="D17" s="7">
        <v>40121</v>
      </c>
      <c r="E17" s="8" t="s">
        <v>1573</v>
      </c>
      <c r="F17" s="8"/>
      <c r="G17" s="8"/>
      <c r="H17" s="8"/>
      <c r="I17" s="8"/>
      <c r="J17" s="8"/>
      <c r="K17" s="8"/>
      <c r="L17" s="8"/>
      <c r="M17" s="8"/>
      <c r="N17" s="9" t="str">
        <f>HYPERLINK("mailto:tylerp@utahcounty.gov","Tyler Plewe")</f>
        <v>Tyler Plewe</v>
      </c>
      <c r="O17" s="10" t="str">
        <f>HYPERLINK("mailto:Mario.Seminara@fda.hhs.gov","Mario Seminara")</f>
        <v>Mario Seminara</v>
      </c>
    </row>
    <row r="18" spans="1:15" ht="30" x14ac:dyDescent="0.25">
      <c r="A18" s="6" t="str">
        <f>HYPERLINK("http://www.utahcountyonline.org/","Utah County Health Department")</f>
        <v>Utah County Health Department</v>
      </c>
      <c r="B18" s="7">
        <v>37554</v>
      </c>
      <c r="C18" s="8">
        <v>3</v>
      </c>
      <c r="D18" s="7">
        <v>42492</v>
      </c>
      <c r="E18" s="8" t="s">
        <v>1574</v>
      </c>
      <c r="F18" s="8"/>
      <c r="G18" s="8"/>
      <c r="H18" s="8"/>
      <c r="I18" s="8"/>
      <c r="J18" s="8"/>
      <c r="K18" s="8" t="s">
        <v>1574</v>
      </c>
      <c r="L18" s="8"/>
      <c r="M18" s="8"/>
      <c r="N18" s="9" t="str">
        <f>HYPERLINK("mailto:SamM@utahcounty.gov","Sam Marsden")</f>
        <v>Sam Marsden</v>
      </c>
      <c r="O18" s="10" t="str">
        <f>HYPERLINK("mailto:Mario.Seminara@fda.hhs.gov","Mario Seminara")</f>
        <v>Mario Seminara</v>
      </c>
    </row>
    <row r="19" spans="1:15" ht="30" x14ac:dyDescent="0.25">
      <c r="A19" s="29" t="s">
        <v>1575</v>
      </c>
      <c r="B19" s="12">
        <v>39297</v>
      </c>
      <c r="C19" s="13">
        <v>1</v>
      </c>
      <c r="D19" s="12">
        <v>40121</v>
      </c>
      <c r="E19" s="13" t="s">
        <v>1576</v>
      </c>
      <c r="F19" s="13"/>
      <c r="G19" s="13" t="s">
        <v>1577</v>
      </c>
      <c r="H19" s="13" t="s">
        <v>1578</v>
      </c>
      <c r="I19" s="13"/>
      <c r="J19" s="13"/>
      <c r="K19" s="13" t="s">
        <v>1579</v>
      </c>
      <c r="L19" s="13"/>
      <c r="M19" s="13"/>
      <c r="N19" s="14" t="str">
        <f>HYPERLINK("mailto:nschvaneveldt@utah.gov","Noel Jay Schvaneveldt")</f>
        <v>Noel Jay Schvaneveldt</v>
      </c>
      <c r="O19" s="15" t="str">
        <f>HYPERLINK("mailto:Mario.Seminara@fda.hhs.gov","Mario Seminara")</f>
        <v>Mario Seminara</v>
      </c>
    </row>
    <row r="20" spans="1:15" ht="30" x14ac:dyDescent="0.25">
      <c r="A20" s="29" t="s">
        <v>1575</v>
      </c>
      <c r="B20" s="12">
        <v>39297</v>
      </c>
      <c r="C20" s="13">
        <v>2</v>
      </c>
      <c r="D20" s="12">
        <v>42257</v>
      </c>
      <c r="E20" s="13"/>
      <c r="F20" s="13"/>
      <c r="G20" s="13"/>
      <c r="H20" s="13" t="s">
        <v>1580</v>
      </c>
      <c r="I20" s="13" t="s">
        <v>1581</v>
      </c>
      <c r="J20" s="13"/>
      <c r="K20" s="13"/>
      <c r="L20" s="13"/>
      <c r="M20" s="13"/>
      <c r="N20" s="14" t="str">
        <f>HYPERLINK("mailto:nschvaneveldt@utah.gov","Noel Jay Schvaneveldt")</f>
        <v>Noel Jay Schvaneveldt</v>
      </c>
      <c r="O20" s="15" t="str">
        <f>HYPERLINK("mailto:Mario.Seminara@fda.hhs.gov","Mario Seminara")</f>
        <v>Mario Seminara</v>
      </c>
    </row>
    <row r="21" spans="1:15" ht="30" x14ac:dyDescent="0.25">
      <c r="A21" s="6" t="str">
        <f>HYPERLINK("http://health.utah.gov/","Utah Department of Health")</f>
        <v>Utah Department of Health</v>
      </c>
      <c r="B21" s="7">
        <v>38257</v>
      </c>
      <c r="C21" s="8">
        <v>1</v>
      </c>
      <c r="D21" s="7">
        <v>40148</v>
      </c>
      <c r="E21" s="8" t="s">
        <v>1582</v>
      </c>
      <c r="F21" s="8"/>
      <c r="G21" s="8"/>
      <c r="H21" s="8"/>
      <c r="I21" s="8"/>
      <c r="J21" s="8"/>
      <c r="K21" s="8" t="s">
        <v>1583</v>
      </c>
      <c r="L21" s="8"/>
      <c r="M21" s="8"/>
      <c r="N21" s="9" t="str">
        <f>HYPERLINK("mailto:rmarsden@utah.gov","Ron Marsden")</f>
        <v>Ron Marsden</v>
      </c>
      <c r="O21" s="10" t="str">
        <f>HYPERLINK("mailto:Mario.Seminara@fda.hhs.gov","Mario Seminara")</f>
        <v>Mario Seminara</v>
      </c>
    </row>
    <row r="22" spans="1:15" ht="30" x14ac:dyDescent="0.25">
      <c r="A22" s="6" t="str">
        <f>HYPERLINK("http://health.utah.gov/","Utah Department of Health")</f>
        <v>Utah Department of Health</v>
      </c>
      <c r="B22" s="7">
        <v>38257</v>
      </c>
      <c r="C22" s="8">
        <v>2</v>
      </c>
      <c r="D22" s="7">
        <v>42151</v>
      </c>
      <c r="E22" s="8" t="s">
        <v>1584</v>
      </c>
      <c r="F22" s="8" t="s">
        <v>1585</v>
      </c>
      <c r="G22" s="8"/>
      <c r="H22" s="8"/>
      <c r="I22" s="8"/>
      <c r="J22" s="8"/>
      <c r="K22" s="8" t="s">
        <v>1586</v>
      </c>
      <c r="L22" s="8"/>
      <c r="M22" s="8"/>
      <c r="N22" s="9" t="str">
        <f>HYPERLINK("mailto:chrisnelson@utah.gov","Chris Nelson")</f>
        <v>Chris Nelson</v>
      </c>
      <c r="O22" s="10" t="str">
        <f>HYPERLINK("mailto:Mario.Seminara@fda.hhs.gov","Mario Seminara")</f>
        <v>Mario Seminara</v>
      </c>
    </row>
    <row r="23" spans="1:15" ht="30" x14ac:dyDescent="0.25">
      <c r="A23" s="11" t="str">
        <f>HYPERLINK("http://webermorganhealth.org","Weber-Morgan Health Department")</f>
        <v>Weber-Morgan Health Department</v>
      </c>
      <c r="B23" s="12">
        <v>38559</v>
      </c>
      <c r="C23" s="13">
        <v>1</v>
      </c>
      <c r="D23" s="12">
        <v>40070</v>
      </c>
      <c r="E23" s="13" t="s">
        <v>1587</v>
      </c>
      <c r="F23" s="13"/>
      <c r="G23" s="13"/>
      <c r="H23" s="13"/>
      <c r="I23" s="13"/>
      <c r="J23" s="13"/>
      <c r="K23" s="13"/>
      <c r="L23" s="13"/>
      <c r="M23" s="13"/>
      <c r="N23" s="14" t="str">
        <f>HYPERLINK("mailto:mcooke@co.weber.ut.us","Michelle Cooke")</f>
        <v>Michelle Cooke</v>
      </c>
      <c r="O23" s="15" t="str">
        <f>HYPERLINK("mailto:Mario.Seminara@fda.hhs.gov","Mario Seminara")</f>
        <v>Mario Seminara</v>
      </c>
    </row>
    <row r="24" spans="1:15" ht="30" x14ac:dyDescent="0.25">
      <c r="A24" s="22" t="str">
        <f>HYPERLINK("http://webermorganhealth.org","Weber-Morgan Health Department")</f>
        <v>Weber-Morgan Health Department</v>
      </c>
      <c r="B24" s="23">
        <v>38559</v>
      </c>
      <c r="C24" s="24">
        <v>2</v>
      </c>
      <c r="D24" s="23">
        <v>42669</v>
      </c>
      <c r="E24" s="24" t="s">
        <v>1588</v>
      </c>
      <c r="F24" s="24"/>
      <c r="G24" s="24" t="s">
        <v>1589</v>
      </c>
      <c r="H24" s="24"/>
      <c r="I24" s="24" t="s">
        <v>1590</v>
      </c>
      <c r="J24" s="24"/>
      <c r="K24" s="24" t="s">
        <v>1591</v>
      </c>
      <c r="L24" s="24"/>
      <c r="M24" s="24"/>
      <c r="N24" s="25" t="str">
        <f>HYPERLINK("mailto:mcooke@co.weber.ut.us","Michelle Cooke")</f>
        <v>Michelle Cooke</v>
      </c>
      <c r="O24" s="26" t="str">
        <f>HYPERLINK("mailto:Mario.Seminara@fda.hhs.gov","Mario Seminara")</f>
        <v>Mario Seminara</v>
      </c>
    </row>
  </sheetData>
  <pageMargins left="0.15" right="0.15" top="0.25" bottom="0.25" header="0.05" footer="0.05"/>
  <pageSetup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CC1D1-DD99-480F-90D8-6259193023EF}">
  <sheetPr>
    <pageSetUpPr fitToPage="1"/>
  </sheetPr>
  <dimension ref="A1:O36"/>
  <sheetViews>
    <sheetView workbookViewId="0"/>
  </sheetViews>
  <sheetFormatPr defaultRowHeight="15" x14ac:dyDescent="0.25"/>
  <cols>
    <col min="1" max="1" width="33.7109375" customWidth="1"/>
    <col min="2" max="2" width="14.85546875" customWidth="1"/>
    <col min="3" max="3" width="18.42578125" customWidth="1"/>
    <col min="4" max="4" width="22" customWidth="1"/>
    <col min="5" max="13" width="17.28515625" customWidth="1"/>
    <col min="14" max="14" width="14.85546875" customWidth="1"/>
    <col min="15" max="15" width="13.140625" customWidth="1"/>
  </cols>
  <sheetData>
    <row r="1" spans="1:15" x14ac:dyDescent="0.25">
      <c r="A1" t="s">
        <v>88</v>
      </c>
      <c r="B1" s="2" t="str">
        <f>HYPERLINK("#Introduction!A1","Back to Introduction Page")</f>
        <v>Back to Introduction Page</v>
      </c>
    </row>
    <row r="2" spans="1:15" x14ac:dyDescent="0.25">
      <c r="A2" s="21" t="s">
        <v>89</v>
      </c>
    </row>
    <row r="3" spans="1:15" ht="45" x14ac:dyDescent="0.25">
      <c r="A3" s="4" t="s">
        <v>15</v>
      </c>
      <c r="B3" s="3" t="s">
        <v>16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21</v>
      </c>
      <c r="H3" s="3" t="s">
        <v>22</v>
      </c>
      <c r="I3" s="3" t="s">
        <v>23</v>
      </c>
      <c r="J3" s="3" t="s">
        <v>24</v>
      </c>
      <c r="K3" s="3" t="s">
        <v>25</v>
      </c>
      <c r="L3" s="3" t="s">
        <v>26</v>
      </c>
      <c r="M3" s="3" t="s">
        <v>27</v>
      </c>
      <c r="N3" s="3" t="s">
        <v>28</v>
      </c>
      <c r="O3" s="5" t="s">
        <v>29</v>
      </c>
    </row>
    <row r="4" spans="1:15" ht="30" x14ac:dyDescent="0.25">
      <c r="A4" s="28" t="s">
        <v>52</v>
      </c>
      <c r="B4" s="7">
        <v>39148</v>
      </c>
      <c r="C4" s="8">
        <v>1</v>
      </c>
      <c r="D4" s="7">
        <v>41179</v>
      </c>
      <c r="E4" s="8"/>
      <c r="F4" s="8"/>
      <c r="G4" s="8"/>
      <c r="H4" s="8"/>
      <c r="I4" s="8"/>
      <c r="J4" s="8"/>
      <c r="K4" s="8"/>
      <c r="L4" s="8"/>
      <c r="M4" s="8"/>
      <c r="N4" s="9" t="str">
        <f>HYPERLINK("mailto:csexton@co.apache.az,us","Chris Sexton")</f>
        <v>Chris Sexton</v>
      </c>
      <c r="O4" s="10" t="str">
        <f>HYPERLINK("mailto:Mario.Seminara@fda.hhs.gov","Mario Seminara")</f>
        <v>Mario Seminara</v>
      </c>
    </row>
    <row r="5" spans="1:15" ht="30" x14ac:dyDescent="0.25">
      <c r="A5" s="11" t="str">
        <f>HYPERLINK("http://www.azdhs.gov/phs/oeh/index.htm","Arizona Department of Health Services")</f>
        <v>Arizona Department of Health Services</v>
      </c>
      <c r="B5" s="12">
        <v>39797</v>
      </c>
      <c r="C5" s="13">
        <v>1</v>
      </c>
      <c r="D5" s="12">
        <v>40154</v>
      </c>
      <c r="E5" s="13"/>
      <c r="F5" s="13"/>
      <c r="G5" s="13"/>
      <c r="H5" s="13"/>
      <c r="I5" s="13"/>
      <c r="J5" s="13"/>
      <c r="K5" s="13" t="s">
        <v>53</v>
      </c>
      <c r="L5" s="13"/>
      <c r="M5" s="13"/>
      <c r="N5" s="14" t="str">
        <f>HYPERLINK("mailto:blanca.caballero@azdhs.gov","Blanca Caballero")</f>
        <v>Blanca Caballero</v>
      </c>
      <c r="O5" s="15" t="str">
        <f>HYPERLINK("mailto:Mario.Seminara@fda.hhs.gov","Mario Seminara")</f>
        <v>Mario Seminara</v>
      </c>
    </row>
    <row r="6" spans="1:15" ht="30" x14ac:dyDescent="0.25">
      <c r="A6" s="11" t="str">
        <f>HYPERLINK("http://www.azdhs.gov/phs/oeh/index.htm","Arizona Department of Health Services")</f>
        <v>Arizona Department of Health Services</v>
      </c>
      <c r="B6" s="12">
        <v>39797</v>
      </c>
      <c r="C6" s="13">
        <v>2</v>
      </c>
      <c r="D6" s="12">
        <v>41086</v>
      </c>
      <c r="E6" s="13"/>
      <c r="F6" s="13"/>
      <c r="G6" s="13"/>
      <c r="H6" s="13"/>
      <c r="I6" s="13"/>
      <c r="J6" s="13"/>
      <c r="K6" s="13" t="s">
        <v>54</v>
      </c>
      <c r="L6" s="13"/>
      <c r="M6" s="13"/>
      <c r="N6" s="14" t="str">
        <f>HYPERLINK("mailto:blanca.caballero@azdhs.gov","Blanca Caballero")</f>
        <v>Blanca Caballero</v>
      </c>
      <c r="O6" s="15" t="str">
        <f>HYPERLINK("mailto:Mario.Seminara@fda.hhs.gov","Mario Seminara")</f>
        <v>Mario Seminara</v>
      </c>
    </row>
    <row r="7" spans="1:15" ht="30" x14ac:dyDescent="0.25">
      <c r="A7" s="11" t="str">
        <f>HYPERLINK("http://www.azdhs.gov/phs/oeh/index.htm","Arizona Department of Health Services")</f>
        <v>Arizona Department of Health Services</v>
      </c>
      <c r="B7" s="12">
        <v>39797</v>
      </c>
      <c r="C7" s="13">
        <v>3</v>
      </c>
      <c r="D7" s="12">
        <v>42902</v>
      </c>
      <c r="E7" s="13"/>
      <c r="F7" s="13"/>
      <c r="G7" s="13"/>
      <c r="H7" s="13"/>
      <c r="I7" s="13" t="s">
        <v>55</v>
      </c>
      <c r="J7" s="13"/>
      <c r="K7" s="13" t="s">
        <v>56</v>
      </c>
      <c r="L7" s="13"/>
      <c r="M7" s="13"/>
      <c r="N7" s="14" t="str">
        <f>HYPERLINK("mailto:blanca.caballero@azdhs.gov","Blanca Caballero")</f>
        <v>Blanca Caballero</v>
      </c>
      <c r="O7" s="15" t="str">
        <f>HYPERLINK("mailto:Mario.Seminara@fda.hhs.gov","Mario Seminara")</f>
        <v>Mario Seminara</v>
      </c>
    </row>
    <row r="8" spans="1:15" ht="30" x14ac:dyDescent="0.25">
      <c r="A8" s="6" t="str">
        <f>HYPERLINK("https://www.cochise.az.gov/","Cochise County Health Department")</f>
        <v>Cochise County Health Department</v>
      </c>
      <c r="B8" s="7">
        <v>38945</v>
      </c>
      <c r="C8" s="8">
        <v>1</v>
      </c>
      <c r="D8" s="7">
        <v>39470</v>
      </c>
      <c r="E8" s="8" t="s">
        <v>57</v>
      </c>
      <c r="F8" s="8"/>
      <c r="G8" s="8"/>
      <c r="H8" s="8"/>
      <c r="I8" s="8"/>
      <c r="J8" s="8"/>
      <c r="K8" s="8" t="s">
        <v>57</v>
      </c>
      <c r="L8" s="8" t="s">
        <v>57</v>
      </c>
      <c r="M8" s="8" t="s">
        <v>57</v>
      </c>
      <c r="N8" s="9" t="str">
        <f>HYPERLINK("mailto:mmcgee@cochise.az.gov","Michael McGee")</f>
        <v>Michael McGee</v>
      </c>
      <c r="O8" s="10" t="str">
        <f>HYPERLINK("mailto:Mario.Seminara@fda.hhs.gov","Mario Seminara")</f>
        <v>Mario Seminara</v>
      </c>
    </row>
    <row r="9" spans="1:15" ht="30" x14ac:dyDescent="0.25">
      <c r="A9" s="6" t="str">
        <f>HYPERLINK("https://www.cochise.az.gov/","Cochise County Health Department")</f>
        <v>Cochise County Health Department</v>
      </c>
      <c r="B9" s="7">
        <v>38945</v>
      </c>
      <c r="C9" s="8">
        <v>2</v>
      </c>
      <c r="D9" s="7">
        <v>41116</v>
      </c>
      <c r="E9" s="8" t="s">
        <v>58</v>
      </c>
      <c r="F9" s="8"/>
      <c r="G9" s="8"/>
      <c r="H9" s="8"/>
      <c r="I9" s="8"/>
      <c r="J9" s="8"/>
      <c r="K9" s="8" t="s">
        <v>58</v>
      </c>
      <c r="L9" s="8"/>
      <c r="M9" s="8"/>
      <c r="N9" s="9" t="str">
        <f>HYPERLINK("mailto:mmcgee@cochise.az.gov","Michael McGee")</f>
        <v>Michael McGee</v>
      </c>
      <c r="O9" s="10" t="str">
        <f>HYPERLINK("mailto:Mario.Seminara@fda.hhs.gov","Mario Seminara")</f>
        <v>Mario Seminara</v>
      </c>
    </row>
    <row r="10" spans="1:15" ht="30" x14ac:dyDescent="0.25">
      <c r="A10" s="6" t="str">
        <f>HYPERLINK("https://www.cochise.az.gov/","Cochise County Health Department")</f>
        <v>Cochise County Health Department</v>
      </c>
      <c r="B10" s="7">
        <v>38945</v>
      </c>
      <c r="C10" s="8">
        <v>3</v>
      </c>
      <c r="D10" s="7">
        <v>42997</v>
      </c>
      <c r="E10" s="8" t="s">
        <v>59</v>
      </c>
      <c r="F10" s="8"/>
      <c r="G10" s="8" t="s">
        <v>59</v>
      </c>
      <c r="H10" s="8"/>
      <c r="I10" s="8"/>
      <c r="J10" s="8"/>
      <c r="K10" s="8"/>
      <c r="L10" s="8"/>
      <c r="M10" s="8"/>
      <c r="N10" s="9" t="str">
        <f>HYPERLINK("mailto:mmcgee@cochise.az.gov","Michael McGee")</f>
        <v>Michael McGee</v>
      </c>
      <c r="O10" s="10" t="str">
        <f>HYPERLINK("mailto:Mario.Seminara@fda.hhs.gov","Mario Seminara")</f>
        <v>Mario Seminara</v>
      </c>
    </row>
    <row r="11" spans="1:15" ht="30" x14ac:dyDescent="0.25">
      <c r="A11" s="11" t="str">
        <f>HYPERLINK("http://www.coconino.az.gov//229/Environmental-Health","Coconino County Environmental Health")</f>
        <v>Coconino County Environmental Health</v>
      </c>
      <c r="B11" s="12">
        <v>38041</v>
      </c>
      <c r="C11" s="13">
        <v>1</v>
      </c>
      <c r="D11" s="12">
        <v>38078</v>
      </c>
      <c r="E11" s="13" t="s">
        <v>60</v>
      </c>
      <c r="F11" s="13"/>
      <c r="G11" s="13" t="s">
        <v>60</v>
      </c>
      <c r="H11" s="13"/>
      <c r="I11" s="13"/>
      <c r="J11" s="13"/>
      <c r="K11" s="13" t="s">
        <v>60</v>
      </c>
      <c r="L11" s="13"/>
      <c r="M11" s="13"/>
      <c r="N11" s="13" t="s">
        <v>61</v>
      </c>
      <c r="O11" s="15" t="str">
        <f>HYPERLINK("mailto:Mario.Seminara@fda.hhs.gov","Mario Seminara")</f>
        <v>Mario Seminara</v>
      </c>
    </row>
    <row r="12" spans="1:15" ht="30" x14ac:dyDescent="0.25">
      <c r="A12" s="11" t="str">
        <f>HYPERLINK("http://www.coconino.az.gov//229/Environmental-Health","Coconino County Environmental Health")</f>
        <v>Coconino County Environmental Health</v>
      </c>
      <c r="B12" s="12">
        <v>38041</v>
      </c>
      <c r="C12" s="13">
        <v>2</v>
      </c>
      <c r="D12" s="12">
        <v>39811</v>
      </c>
      <c r="E12" s="13" t="s">
        <v>62</v>
      </c>
      <c r="F12" s="13"/>
      <c r="G12" s="13" t="s">
        <v>62</v>
      </c>
      <c r="H12" s="13"/>
      <c r="I12" s="13"/>
      <c r="J12" s="13"/>
      <c r="K12" s="13" t="s">
        <v>62</v>
      </c>
      <c r="L12" s="13"/>
      <c r="M12" s="13"/>
      <c r="N12" s="13" t="s">
        <v>61</v>
      </c>
      <c r="O12" s="15" t="str">
        <f>HYPERLINK("mailto:Mario.Seminara@fda.hhs.gov","Mario Seminara")</f>
        <v>Mario Seminara</v>
      </c>
    </row>
    <row r="13" spans="1:15" ht="30" x14ac:dyDescent="0.25">
      <c r="A13" s="11" t="str">
        <f>HYPERLINK("http://www.coconino.az.gov//229/Environmental-Health","Coconino County Environmental Health")</f>
        <v>Coconino County Environmental Health</v>
      </c>
      <c r="B13" s="12">
        <v>38041</v>
      </c>
      <c r="C13" s="13">
        <v>3</v>
      </c>
      <c r="D13" s="12">
        <v>43390</v>
      </c>
      <c r="E13" s="13"/>
      <c r="F13" s="13"/>
      <c r="G13" s="13" t="s">
        <v>63</v>
      </c>
      <c r="H13" s="13"/>
      <c r="I13" s="13"/>
      <c r="J13" s="13"/>
      <c r="K13" s="13" t="s">
        <v>63</v>
      </c>
      <c r="L13" s="13"/>
      <c r="M13" s="13"/>
      <c r="N13" s="13"/>
      <c r="O13" s="15" t="str">
        <f>HYPERLINK("mailto:Mario.Seminara@fda.hhs.gov","Mario Seminara")</f>
        <v>Mario Seminara</v>
      </c>
    </row>
    <row r="14" spans="1:15" ht="30" x14ac:dyDescent="0.25">
      <c r="A14" s="6" t="str">
        <f>HYPERLINK("http://www.gilacountyaz.gov/government/health_and_emergency_services/health_services/environmental_health.php","Gila County Health Department")</f>
        <v>Gila County Health Department</v>
      </c>
      <c r="B14" s="7">
        <v>38576</v>
      </c>
      <c r="C14" s="8">
        <v>1</v>
      </c>
      <c r="D14" s="7">
        <v>40967</v>
      </c>
      <c r="E14" s="8"/>
      <c r="F14" s="8"/>
      <c r="G14" s="8"/>
      <c r="H14" s="8"/>
      <c r="I14" s="8"/>
      <c r="J14" s="8"/>
      <c r="K14" s="8"/>
      <c r="L14" s="8"/>
      <c r="M14" s="8"/>
      <c r="N14" s="9" t="str">
        <f>HYPERLINK("mailto:modriscoll@gilacountyaz.gov","Michael O'Driscoll")</f>
        <v>Michael O'Driscoll</v>
      </c>
      <c r="O14" s="10" t="str">
        <f>HYPERLINK("mailto:Mario.Seminara@fda.hhs.gov","Mario Seminara")</f>
        <v>Mario Seminara</v>
      </c>
    </row>
    <row r="15" spans="1:15" ht="30" x14ac:dyDescent="0.25">
      <c r="A15" s="6" t="str">
        <f>HYPERLINK("http://www.gilacountyaz.gov/government/health_and_emergency_services/health_services/environmental_health.php","Gila County Health Department")</f>
        <v>Gila County Health Department</v>
      </c>
      <c r="B15" s="7">
        <v>38576</v>
      </c>
      <c r="C15" s="8">
        <v>2</v>
      </c>
      <c r="D15" s="7">
        <v>40920</v>
      </c>
      <c r="E15" s="8"/>
      <c r="F15" s="8"/>
      <c r="G15" s="8"/>
      <c r="H15" s="8"/>
      <c r="I15" s="8"/>
      <c r="J15" s="8"/>
      <c r="K15" s="8"/>
      <c r="L15" s="8"/>
      <c r="M15" s="8"/>
      <c r="N15" s="9" t="str">
        <f>HYPERLINK("mailto:modriscoll@gilacountyaz.gov","Michael O'Driscoll")</f>
        <v>Michael O'Driscoll</v>
      </c>
      <c r="O15" s="10" t="str">
        <f>HYPERLINK("mailto:Mario.Seminara@fda.hhs.gov","Mario Seminara")</f>
        <v>Mario Seminara</v>
      </c>
    </row>
    <row r="16" spans="1:15" ht="30" x14ac:dyDescent="0.25">
      <c r="A16" s="11" t="str">
        <f>HYPERLINK("http://www.gilariver.org/","Gila River Indian Community")</f>
        <v>Gila River Indian Community</v>
      </c>
      <c r="B16" s="12">
        <v>38576</v>
      </c>
      <c r="C16" s="13">
        <v>1</v>
      </c>
      <c r="D16" s="12">
        <v>38917</v>
      </c>
      <c r="E16" s="13"/>
      <c r="F16" s="13"/>
      <c r="G16" s="13" t="s">
        <v>64</v>
      </c>
      <c r="H16" s="13"/>
      <c r="I16" s="13"/>
      <c r="J16" s="13"/>
      <c r="K16" s="13" t="s">
        <v>64</v>
      </c>
      <c r="L16" s="13"/>
      <c r="M16" s="13"/>
      <c r="N16" s="14" t="str">
        <f>HYPERLINK("mailto:roger.griggs@gric.nsn.us","Roger Griggs")</f>
        <v>Roger Griggs</v>
      </c>
      <c r="O16" s="15" t="str">
        <f>HYPERLINK("mailto:Mario.Seminara@fda.hhs.gov","Mario Seminara")</f>
        <v>Mario Seminara</v>
      </c>
    </row>
    <row r="17" spans="1:15" ht="30" x14ac:dyDescent="0.25">
      <c r="A17" s="11" t="str">
        <f>HYPERLINK("http://www.gilariver.org/","Gila River Indian Community")</f>
        <v>Gila River Indian Community</v>
      </c>
      <c r="B17" s="12">
        <v>42943</v>
      </c>
      <c r="C17" s="13">
        <v>2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4" t="str">
        <f>HYPERLINK("mailto:roger.griggs@gric.nsn.us","Roger Griggs")</f>
        <v>Roger Griggs</v>
      </c>
      <c r="O17" s="15" t="str">
        <f>HYPERLINK("mailto:Mario.Seminara@fda.hhs.gov","Mario Seminara")</f>
        <v>Mario Seminara</v>
      </c>
    </row>
    <row r="18" spans="1:15" ht="30" x14ac:dyDescent="0.25">
      <c r="A18" s="6" t="str">
        <f>HYPERLINK("http://www.co.greenlee.az.us/","Greenlee County Health Department")</f>
        <v>Greenlee County Health Department</v>
      </c>
      <c r="B18" s="7">
        <v>38206</v>
      </c>
      <c r="C18" s="8">
        <v>1</v>
      </c>
      <c r="D18" s="7">
        <v>38854</v>
      </c>
      <c r="E18" s="8"/>
      <c r="F18" s="8"/>
      <c r="G18" s="8"/>
      <c r="H18" s="8"/>
      <c r="I18" s="8"/>
      <c r="J18" s="8"/>
      <c r="K18" s="8"/>
      <c r="L18" s="8" t="s">
        <v>65</v>
      </c>
      <c r="M18" s="8"/>
      <c r="N18" s="9" t="str">
        <f>HYPERLINK("mailto:srutherford@co.greenlee.az.us","Steve Rutherford")</f>
        <v>Steve Rutherford</v>
      </c>
      <c r="O18" s="10" t="str">
        <f>HYPERLINK("mailto:Mario.Seminara@fda.hhs.gov","Mario Seminara")</f>
        <v>Mario Seminara</v>
      </c>
    </row>
    <row r="19" spans="1:15" ht="30" x14ac:dyDescent="0.25">
      <c r="A19" s="11" t="str">
        <f>HYPERLINK("http://www.co.la-paz.az.us/","La Paz County Health Department")</f>
        <v>La Paz County Health Department</v>
      </c>
      <c r="B19" s="12">
        <v>37110</v>
      </c>
      <c r="C19" s="13">
        <v>1</v>
      </c>
      <c r="D19" s="12">
        <v>37656</v>
      </c>
      <c r="E19" s="13" t="s">
        <v>66</v>
      </c>
      <c r="F19" s="13"/>
      <c r="G19" s="13"/>
      <c r="H19" s="13"/>
      <c r="I19" s="13"/>
      <c r="J19" s="13"/>
      <c r="K19" s="13"/>
      <c r="L19" s="13"/>
      <c r="M19" s="13" t="s">
        <v>66</v>
      </c>
      <c r="N19" s="14" t="str">
        <f>HYPERLINK("mailto:jmccluskey@co.la-paz.az.us","Joyce McCluskey")</f>
        <v>Joyce McCluskey</v>
      </c>
      <c r="O19" s="15" t="str">
        <f>HYPERLINK("mailto:Mario.Seminara@fda.hhs.gov","Mario Seminara")</f>
        <v>Mario Seminara</v>
      </c>
    </row>
    <row r="20" spans="1:15" ht="45" x14ac:dyDescent="0.25">
      <c r="A20" s="6" t="str">
        <f>HYPERLINK("http://www.maricopa.gov/ENVSVC/","Maricopa County Environmental Health Services Department")</f>
        <v>Maricopa County Environmental Health Services Department</v>
      </c>
      <c r="B20" s="7">
        <v>37110</v>
      </c>
      <c r="C20" s="8">
        <v>1</v>
      </c>
      <c r="D20" s="7">
        <v>37448</v>
      </c>
      <c r="E20" s="8" t="s">
        <v>67</v>
      </c>
      <c r="F20" s="8"/>
      <c r="G20" s="8"/>
      <c r="H20" s="8"/>
      <c r="I20" s="8"/>
      <c r="J20" s="8"/>
      <c r="K20" s="8" t="s">
        <v>67</v>
      </c>
      <c r="L20" s="8"/>
      <c r="M20" s="8" t="s">
        <v>67</v>
      </c>
      <c r="N20" s="9" t="str">
        <f>HYPERLINK("mailto:thurst@mail.maricopa.gov","Tim Hurst")</f>
        <v>Tim Hurst</v>
      </c>
      <c r="O20" s="10" t="str">
        <f>HYPERLINK("mailto:Mario.Seminara@fda.hhs.gov","Mario Seminara")</f>
        <v>Mario Seminara</v>
      </c>
    </row>
    <row r="21" spans="1:15" ht="45" x14ac:dyDescent="0.25">
      <c r="A21" s="6" t="str">
        <f>HYPERLINK("http://www.maricopa.gov/ENVSVC/","Maricopa County Environmental Health Services Department")</f>
        <v>Maricopa County Environmental Health Services Department</v>
      </c>
      <c r="B21" s="7">
        <v>37110</v>
      </c>
      <c r="C21" s="8">
        <v>2</v>
      </c>
      <c r="D21" s="7">
        <v>39413</v>
      </c>
      <c r="E21" s="8" t="s">
        <v>68</v>
      </c>
      <c r="F21" s="8"/>
      <c r="G21" s="8" t="s">
        <v>69</v>
      </c>
      <c r="H21" s="8"/>
      <c r="I21" s="8"/>
      <c r="J21" s="8" t="s">
        <v>70</v>
      </c>
      <c r="K21" s="8" t="s">
        <v>68</v>
      </c>
      <c r="L21" s="8"/>
      <c r="M21" s="8" t="s">
        <v>68</v>
      </c>
      <c r="N21" s="9" t="str">
        <f>HYPERLINK("mailto:thurst@mail.maricopa.gov","Tim Hurst")</f>
        <v>Tim Hurst</v>
      </c>
      <c r="O21" s="10" t="str">
        <f>HYPERLINK("mailto:Mario.Seminara@fda.hhs.gov","Mario Seminara")</f>
        <v>Mario Seminara</v>
      </c>
    </row>
    <row r="22" spans="1:15" ht="45" x14ac:dyDescent="0.25">
      <c r="A22" s="6" t="str">
        <f>HYPERLINK("http://www.maricopa.gov/ENVSVC/","Maricopa County Environmental Health Services Department")</f>
        <v>Maricopa County Environmental Health Services Department</v>
      </c>
      <c r="B22" s="7">
        <v>37110</v>
      </c>
      <c r="C22" s="8">
        <v>3</v>
      </c>
      <c r="D22" s="7">
        <v>42181</v>
      </c>
      <c r="E22" s="8" t="s">
        <v>71</v>
      </c>
      <c r="F22" s="8"/>
      <c r="G22" s="8" t="s">
        <v>71</v>
      </c>
      <c r="H22" s="8" t="s">
        <v>72</v>
      </c>
      <c r="I22" s="8"/>
      <c r="J22" s="8"/>
      <c r="K22" s="8" t="s">
        <v>71</v>
      </c>
      <c r="L22" s="8"/>
      <c r="M22" s="8"/>
      <c r="N22" s="9" t="str">
        <f>HYPERLINK("mailto:thurst@mail.maricopa.gov","Tim Hurst")</f>
        <v>Tim Hurst</v>
      </c>
      <c r="O22" s="10" t="str">
        <f>HYPERLINK("mailto:Mario.Seminara@fda.hhs.gov","Mario Seminara")</f>
        <v>Mario Seminara</v>
      </c>
    </row>
    <row r="23" spans="1:15" ht="30" x14ac:dyDescent="0.25">
      <c r="A23" s="11" t="str">
        <f>HYPERLINK("http://www.co.mohave.az.us/ContentPage.aspx?id=127&amp;cid=153","Mohave County Health Department")</f>
        <v>Mohave County Health Department</v>
      </c>
      <c r="B23" s="12">
        <v>39170</v>
      </c>
      <c r="C23" s="13">
        <v>1</v>
      </c>
      <c r="D23" s="12">
        <v>39535</v>
      </c>
      <c r="E23" s="13" t="s">
        <v>73</v>
      </c>
      <c r="F23" s="13"/>
      <c r="G23" s="13"/>
      <c r="H23" s="13"/>
      <c r="I23" s="13"/>
      <c r="J23" s="13"/>
      <c r="K23" s="13" t="s">
        <v>73</v>
      </c>
      <c r="L23" s="13"/>
      <c r="M23" s="13"/>
      <c r="N23" s="14" t="str">
        <f>HYPERLINK("mailto:becky.bramlett@mohavecounty.us","Becky Bramlett")</f>
        <v>Becky Bramlett</v>
      </c>
      <c r="O23" s="15" t="str">
        <f>HYPERLINK("mailto:Mario.Seminara@fda.hhs.gov","Mario Seminara")</f>
        <v>Mario Seminara</v>
      </c>
    </row>
    <row r="24" spans="1:15" ht="30" x14ac:dyDescent="0.25">
      <c r="A24" s="11" t="str">
        <f>HYPERLINK("http://www.co.mohave.az.us/ContentPage.aspx?id=127&amp;cid=153","Mohave County Health Department")</f>
        <v>Mohave County Health Department</v>
      </c>
      <c r="B24" s="12">
        <v>39170</v>
      </c>
      <c r="C24" s="13">
        <v>2</v>
      </c>
      <c r="D24" s="12">
        <v>41082</v>
      </c>
      <c r="E24" s="13"/>
      <c r="F24" s="13"/>
      <c r="G24" s="13" t="s">
        <v>74</v>
      </c>
      <c r="H24" s="13"/>
      <c r="I24" s="13"/>
      <c r="J24" s="13"/>
      <c r="K24" s="13"/>
      <c r="L24" s="13"/>
      <c r="M24" s="13"/>
      <c r="N24" s="14" t="str">
        <f>HYPERLINK("mailto:becky.bramlett@mohavecounty.us","Becky Bramlett")</f>
        <v>Becky Bramlett</v>
      </c>
      <c r="O24" s="15" t="str">
        <f>HYPERLINK("mailto:Mario.Seminara@fda.hhs.gov","Mario Seminara")</f>
        <v>Mario Seminara</v>
      </c>
    </row>
    <row r="25" spans="1:15" ht="30" x14ac:dyDescent="0.25">
      <c r="A25" s="11" t="str">
        <f>HYPERLINK("http://www.co.mohave.az.us/ContentPage.aspx?id=127&amp;cid=153","Mohave County Health Department")</f>
        <v>Mohave County Health Department</v>
      </c>
      <c r="B25" s="12">
        <v>39170</v>
      </c>
      <c r="C25" s="13">
        <v>3</v>
      </c>
      <c r="D25" s="12">
        <v>42879</v>
      </c>
      <c r="E25" s="13"/>
      <c r="F25" s="13"/>
      <c r="G25" s="13" t="s">
        <v>75</v>
      </c>
      <c r="H25" s="13"/>
      <c r="I25" s="13"/>
      <c r="J25" s="13"/>
      <c r="K25" s="13"/>
      <c r="L25" s="13"/>
      <c r="M25" s="13"/>
      <c r="N25" s="14" t="str">
        <f>HYPERLINK("mailto:becky.bramlett@mohavecounty.us","Becky Bramlett")</f>
        <v>Becky Bramlett</v>
      </c>
      <c r="O25" s="15" t="str">
        <f>HYPERLINK("mailto:Mario.Seminara@fda.hhs.gov","Mario Seminara")</f>
        <v>Mario Seminara</v>
      </c>
    </row>
    <row r="26" spans="1:15" ht="30" x14ac:dyDescent="0.25">
      <c r="A26" s="6" t="str">
        <f>HYPERLINK("http://www.pimahealth.org/healthfood/index.asp","Pima County Health Department")</f>
        <v>Pima County Health Department</v>
      </c>
      <c r="B26" s="7">
        <v>38541</v>
      </c>
      <c r="C26" s="8">
        <v>1</v>
      </c>
      <c r="D26" s="7">
        <v>39104</v>
      </c>
      <c r="E26" s="8"/>
      <c r="F26" s="8"/>
      <c r="G26" s="8"/>
      <c r="H26" s="8"/>
      <c r="I26" s="8"/>
      <c r="J26" s="8"/>
      <c r="K26" s="8"/>
      <c r="L26" s="8"/>
      <c r="M26" s="8"/>
      <c r="N26" s="9" t="str">
        <f>HYPERLINK("mailto:David.Ludwig@pima.gov","David Ludwig")</f>
        <v>David Ludwig</v>
      </c>
      <c r="O26" s="10" t="str">
        <f>HYPERLINK("mailto:Mario.Seminara@fda.hhs.gov","Mario Seminara")</f>
        <v>Mario Seminara</v>
      </c>
    </row>
    <row r="27" spans="1:15" ht="30" x14ac:dyDescent="0.25">
      <c r="A27" s="6" t="str">
        <f>HYPERLINK("http://www.pimahealth.org/healthfood/index.asp","Pima County Health Department")</f>
        <v>Pima County Health Department</v>
      </c>
      <c r="B27" s="7">
        <v>38541</v>
      </c>
      <c r="C27" s="8">
        <v>2</v>
      </c>
      <c r="D27" s="7">
        <v>41058</v>
      </c>
      <c r="E27" s="8"/>
      <c r="F27" s="8"/>
      <c r="G27" s="8"/>
      <c r="H27" s="8"/>
      <c r="I27" s="8"/>
      <c r="J27" s="8"/>
      <c r="K27" s="8"/>
      <c r="L27" s="8"/>
      <c r="M27" s="8"/>
      <c r="N27" s="9" t="str">
        <f>HYPERLINK("mailto:David.Ludwig@pima.gov","David Ludwig")</f>
        <v>David Ludwig</v>
      </c>
      <c r="O27" s="10" t="str">
        <f>HYPERLINK("mailto:Mario.Seminara@fda.hhs.gov","Mario Seminara")</f>
        <v>Mario Seminara</v>
      </c>
    </row>
    <row r="28" spans="1:15" ht="30" x14ac:dyDescent="0.25">
      <c r="A28" s="6" t="str">
        <f>HYPERLINK("http://www.pimahealth.org/healthfood/index.asp","Pima County Health Department")</f>
        <v>Pima County Health Department</v>
      </c>
      <c r="B28" s="7">
        <v>38541</v>
      </c>
      <c r="C28" s="8">
        <v>3</v>
      </c>
      <c r="D28" s="7">
        <v>42607</v>
      </c>
      <c r="E28" s="8" t="s">
        <v>76</v>
      </c>
      <c r="F28" s="8"/>
      <c r="G28" s="8"/>
      <c r="H28" s="8"/>
      <c r="I28" s="8"/>
      <c r="J28" s="8"/>
      <c r="K28" s="8" t="s">
        <v>76</v>
      </c>
      <c r="L28" s="8"/>
      <c r="M28" s="8"/>
      <c r="N28" s="9" t="str">
        <f>HYPERLINK("mailto:David.Ludwig@pima.gov","David Ludwig")</f>
        <v>David Ludwig</v>
      </c>
      <c r="O28" s="10" t="str">
        <f>HYPERLINK("mailto:Mario.Seminara@fda.hhs.gov","Mario Seminara")</f>
        <v>Mario Seminara</v>
      </c>
    </row>
    <row r="29" spans="1:15" ht="30" x14ac:dyDescent="0.25">
      <c r="A29" s="11" t="str">
        <f>HYPERLINK("http://co.pinal.az.us/EnvHealth/","Pinal County Division of Environmental Health")</f>
        <v>Pinal County Division of Environmental Health</v>
      </c>
      <c r="B29" s="12">
        <v>37110</v>
      </c>
      <c r="C29" s="13">
        <v>1</v>
      </c>
      <c r="D29" s="12">
        <v>37974</v>
      </c>
      <c r="E29" s="13" t="s">
        <v>77</v>
      </c>
      <c r="F29" s="13" t="s">
        <v>78</v>
      </c>
      <c r="G29" s="13"/>
      <c r="H29" s="13"/>
      <c r="I29" s="13"/>
      <c r="J29" s="13"/>
      <c r="K29" s="13" t="s">
        <v>78</v>
      </c>
      <c r="L29" s="13"/>
      <c r="M29" s="13" t="s">
        <v>78</v>
      </c>
      <c r="N29" s="14" t="str">
        <f>HYPERLINK("mailto:christopher.reimus@pinalcountyaz.gov","Chris Reimus")</f>
        <v>Chris Reimus</v>
      </c>
      <c r="O29" s="15" t="str">
        <f>HYPERLINK("mailto:Mario.Seminara@fda.hhs.gov","Mario Seminara")</f>
        <v>Mario Seminara</v>
      </c>
    </row>
    <row r="30" spans="1:15" ht="30" x14ac:dyDescent="0.25">
      <c r="A30" s="11" t="str">
        <f>HYPERLINK("http://co.pinal.az.us/EnvHealth/","Pinal County Division of Environmental Health")</f>
        <v>Pinal County Division of Environmental Health</v>
      </c>
      <c r="B30" s="12">
        <v>37110</v>
      </c>
      <c r="C30" s="13">
        <v>2</v>
      </c>
      <c r="D30" s="12">
        <v>39021</v>
      </c>
      <c r="E30" s="13" t="s">
        <v>79</v>
      </c>
      <c r="F30" s="13" t="s">
        <v>79</v>
      </c>
      <c r="G30" s="13" t="s">
        <v>79</v>
      </c>
      <c r="H30" s="13"/>
      <c r="I30" s="13"/>
      <c r="J30" s="13"/>
      <c r="K30" s="13" t="s">
        <v>79</v>
      </c>
      <c r="L30" s="13"/>
      <c r="M30" s="13" t="s">
        <v>79</v>
      </c>
      <c r="N30" s="14" t="str">
        <f>HYPERLINK("mailto:christopher.reimus@pinalcountyaz.gov","Chris Reimus")</f>
        <v>Chris Reimus</v>
      </c>
      <c r="O30" s="15" t="str">
        <f>HYPERLINK("mailto:Mario.Seminara@fda.hhs.gov","Mario Seminara")</f>
        <v>Mario Seminara</v>
      </c>
    </row>
    <row r="31" spans="1:15" ht="30" x14ac:dyDescent="0.25">
      <c r="A31" s="11" t="str">
        <f>HYPERLINK("http://co.pinal.az.us/EnvHealth/","Pinal County Division of Environmental Health")</f>
        <v>Pinal County Division of Environmental Health</v>
      </c>
      <c r="B31" s="12">
        <v>37110</v>
      </c>
      <c r="C31" s="13">
        <v>3</v>
      </c>
      <c r="D31" s="12">
        <v>42499</v>
      </c>
      <c r="E31" s="13" t="s">
        <v>80</v>
      </c>
      <c r="F31" s="13"/>
      <c r="G31" s="13" t="s">
        <v>80</v>
      </c>
      <c r="H31" s="13"/>
      <c r="I31" s="13"/>
      <c r="J31" s="13"/>
      <c r="K31" s="13" t="s">
        <v>80</v>
      </c>
      <c r="L31" s="13"/>
      <c r="M31" s="13"/>
      <c r="N31" s="14" t="str">
        <f>HYPERLINK("mailto:christopher.reimus@pinalcountyaz.gov","Chris Reimus")</f>
        <v>Chris Reimus</v>
      </c>
      <c r="O31" s="15" t="str">
        <f>HYPERLINK("mailto:Mario.Seminara@fda.hhs.gov","Mario Seminara")</f>
        <v>Mario Seminara</v>
      </c>
    </row>
    <row r="32" spans="1:15" ht="30" x14ac:dyDescent="0.25">
      <c r="A32" s="28" t="s">
        <v>81</v>
      </c>
      <c r="B32" s="7">
        <v>42660</v>
      </c>
      <c r="C32" s="8">
        <v>1</v>
      </c>
      <c r="D32" s="7">
        <v>43104</v>
      </c>
      <c r="E32" s="8"/>
      <c r="F32" s="8"/>
      <c r="G32" s="8"/>
      <c r="H32" s="8"/>
      <c r="I32" s="8"/>
      <c r="J32" s="8"/>
      <c r="K32" s="8" t="s">
        <v>82</v>
      </c>
      <c r="L32" s="8"/>
      <c r="M32" s="8"/>
      <c r="N32" s="9" t="str">
        <f>HYPERLINK("mailto:jterrell@santacruzcountyaz.gov","Jeff Terrell")</f>
        <v>Jeff Terrell</v>
      </c>
      <c r="O32" s="10" t="str">
        <f>HYPERLINK("mailto:Mario.Seminara@fda.hhs.gov","Mario Seminara")</f>
        <v>Mario Seminara</v>
      </c>
    </row>
    <row r="33" spans="1:15" ht="30" x14ac:dyDescent="0.25">
      <c r="A33" s="11" t="str">
        <f>HYPERLINK("http://www.co.yavapai.az.us/Links.aspx?id=19878","Yavapai County Community Health Services")</f>
        <v>Yavapai County Community Health Services</v>
      </c>
      <c r="B33" s="12">
        <v>37110</v>
      </c>
      <c r="C33" s="13">
        <v>1</v>
      </c>
      <c r="D33" s="12">
        <v>37400</v>
      </c>
      <c r="E33" s="13"/>
      <c r="F33" s="13" t="s">
        <v>83</v>
      </c>
      <c r="G33" s="13"/>
      <c r="H33" s="13"/>
      <c r="I33" s="13"/>
      <c r="J33" s="13"/>
      <c r="K33" s="13" t="s">
        <v>83</v>
      </c>
      <c r="L33" s="13"/>
      <c r="M33" s="13" t="s">
        <v>83</v>
      </c>
      <c r="N33" s="14" t="str">
        <f>HYPERLINK("mailto:cecil.newell@yavapai.us","Cecil Newell")</f>
        <v>Cecil Newell</v>
      </c>
      <c r="O33" s="15" t="str">
        <f>HYPERLINK("mailto:Mario.Seminara@fda.hhs.gov","Mario Seminara")</f>
        <v>Mario Seminara</v>
      </c>
    </row>
    <row r="34" spans="1:15" ht="30" x14ac:dyDescent="0.25">
      <c r="A34" s="11" t="str">
        <f>HYPERLINK("http://www.co.yavapai.az.us/Links.aspx?id=19878","Yavapai County Community Health Services")</f>
        <v>Yavapai County Community Health Services</v>
      </c>
      <c r="B34" s="12">
        <v>37110</v>
      </c>
      <c r="C34" s="13">
        <v>2</v>
      </c>
      <c r="D34" s="12">
        <v>39654</v>
      </c>
      <c r="E34" s="13" t="s">
        <v>84</v>
      </c>
      <c r="F34" s="13"/>
      <c r="G34" s="13"/>
      <c r="H34" s="13"/>
      <c r="I34" s="13"/>
      <c r="J34" s="13" t="s">
        <v>85</v>
      </c>
      <c r="K34" s="13" t="s">
        <v>85</v>
      </c>
      <c r="L34" s="13"/>
      <c r="M34" s="13"/>
      <c r="N34" s="14" t="str">
        <f>HYPERLINK("mailto:cecil.newell@yavapai.us","Cecil Newell")</f>
        <v>Cecil Newell</v>
      </c>
      <c r="O34" s="15" t="str">
        <f>HYPERLINK("mailto:Mario.Seminara@fda.hhs.gov","Mario Seminara")</f>
        <v>Mario Seminara</v>
      </c>
    </row>
    <row r="35" spans="1:15" ht="30" x14ac:dyDescent="0.25">
      <c r="A35" s="11" t="str">
        <f>HYPERLINK("http://www.co.yavapai.az.us/Links.aspx?id=19878","Yavapai County Community Health Services")</f>
        <v>Yavapai County Community Health Services</v>
      </c>
      <c r="B35" s="12">
        <v>37110</v>
      </c>
      <c r="C35" s="13">
        <v>3</v>
      </c>
      <c r="D35" s="12">
        <v>42594</v>
      </c>
      <c r="E35" s="13" t="s">
        <v>86</v>
      </c>
      <c r="F35" s="13"/>
      <c r="G35" s="13" t="s">
        <v>86</v>
      </c>
      <c r="H35" s="13"/>
      <c r="I35" s="13"/>
      <c r="J35" s="13" t="s">
        <v>86</v>
      </c>
      <c r="K35" s="13" t="s">
        <v>86</v>
      </c>
      <c r="L35" s="13"/>
      <c r="M35" s="13" t="s">
        <v>87</v>
      </c>
      <c r="N35" s="14" t="str">
        <f>HYPERLINK("mailto:cecil.newell@yavapai.us","Cecil Newell")</f>
        <v>Cecil Newell</v>
      </c>
      <c r="O35" s="15" t="str">
        <f>HYPERLINK("mailto:Mario.Seminara@fda.hhs.gov","Mario Seminara")</f>
        <v>Mario Seminara</v>
      </c>
    </row>
    <row r="36" spans="1:15" ht="30" x14ac:dyDescent="0.25">
      <c r="A36" s="16" t="str">
        <f>HYPERLINK("http://www.yumacountyaz.gov/departments-and-services/health","Yuma County Department of Health")</f>
        <v>Yuma County Department of Health</v>
      </c>
      <c r="B36" s="17">
        <v>41683</v>
      </c>
      <c r="C36" s="18">
        <v>1</v>
      </c>
      <c r="D36" s="17">
        <v>42587</v>
      </c>
      <c r="E36" s="18"/>
      <c r="F36" s="18"/>
      <c r="G36" s="18"/>
      <c r="H36" s="18"/>
      <c r="I36" s="18"/>
      <c r="J36" s="18"/>
      <c r="K36" s="18"/>
      <c r="L36" s="18"/>
      <c r="M36" s="18"/>
      <c r="N36" s="19" t="str">
        <f>HYPERLINK("mailto:monty.stansbury@yumacountyaz.gov","Monty Stansbury")</f>
        <v>Monty Stansbury</v>
      </c>
      <c r="O36" s="20" t="str">
        <f>HYPERLINK("mailto:Mario.Seminara@fda.hhs.gov","Mario Seminara")</f>
        <v>Mario Seminara</v>
      </c>
    </row>
  </sheetData>
  <pageMargins left="0.15" right="0.15" top="0.25" bottom="0.25" header="0.05" footer="0.05"/>
  <pageSetup orientation="landscape" r:id="rId1"/>
  <tableParts count="1">
    <tablePart r:id="rId2"/>
  </tablePart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B5081-16D3-423F-83F0-5A8FFDE24EBF}">
  <sheetPr>
    <pageSetUpPr fitToPage="1"/>
  </sheetPr>
  <dimension ref="A1:O4"/>
  <sheetViews>
    <sheetView workbookViewId="0"/>
  </sheetViews>
  <sheetFormatPr defaultRowHeight="15" x14ac:dyDescent="0.25"/>
  <cols>
    <col min="1" max="1" width="33.7109375" customWidth="1"/>
    <col min="2" max="2" width="14.85546875" customWidth="1"/>
    <col min="3" max="3" width="18.42578125" customWidth="1"/>
    <col min="4" max="4" width="22" customWidth="1"/>
    <col min="5" max="13" width="17.28515625" customWidth="1"/>
    <col min="14" max="14" width="14.85546875" customWidth="1"/>
    <col min="15" max="15" width="13.140625" customWidth="1"/>
  </cols>
  <sheetData>
    <row r="1" spans="1:15" x14ac:dyDescent="0.25">
      <c r="A1" t="s">
        <v>1596</v>
      </c>
      <c r="B1" s="2" t="str">
        <f>HYPERLINK("#Introduction!A1","Back to Introduction Page")</f>
        <v>Back to Introduction Page</v>
      </c>
    </row>
    <row r="2" spans="1:15" x14ac:dyDescent="0.25">
      <c r="A2" s="21" t="s">
        <v>1597</v>
      </c>
    </row>
    <row r="3" spans="1:15" ht="45" x14ac:dyDescent="0.25">
      <c r="A3" s="4" t="s">
        <v>15</v>
      </c>
      <c r="B3" s="3" t="s">
        <v>16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21</v>
      </c>
      <c r="H3" s="3" t="s">
        <v>22</v>
      </c>
      <c r="I3" s="3" t="s">
        <v>23</v>
      </c>
      <c r="J3" s="3" t="s">
        <v>24</v>
      </c>
      <c r="K3" s="3" t="s">
        <v>25</v>
      </c>
      <c r="L3" s="3" t="s">
        <v>26</v>
      </c>
      <c r="M3" s="3" t="s">
        <v>27</v>
      </c>
      <c r="N3" s="3" t="s">
        <v>28</v>
      </c>
      <c r="O3" s="5" t="s">
        <v>29</v>
      </c>
    </row>
    <row r="4" spans="1:15" ht="45" x14ac:dyDescent="0.25">
      <c r="A4" s="16" t="str">
        <f>HYPERLINK("http://www.healthvermont.gov/enviro/food_lodge/index.aspx","Vermont Department of Health - Food and Lodging Program")</f>
        <v>Vermont Department of Health - Food and Lodging Program</v>
      </c>
      <c r="B4" s="17">
        <v>41255</v>
      </c>
      <c r="C4" s="18">
        <v>1</v>
      </c>
      <c r="D4" s="17">
        <v>42185</v>
      </c>
      <c r="E4" s="18"/>
      <c r="F4" s="18" t="s">
        <v>1594</v>
      </c>
      <c r="G4" s="18"/>
      <c r="H4" s="18"/>
      <c r="I4" s="18" t="s">
        <v>1595</v>
      </c>
      <c r="J4" s="18"/>
      <c r="K4" s="18" t="s">
        <v>1594</v>
      </c>
      <c r="L4" s="18"/>
      <c r="M4" s="18"/>
      <c r="N4" s="19" t="str">
        <f>HYPERLINK("mailto:elisabeth.wirsing@vermont.gov","Elisabeth Wirsing")</f>
        <v>Elisabeth Wirsing</v>
      </c>
      <c r="O4" s="20" t="str">
        <f>HYPERLINK("mailto:Alfred.Pistorio@fda.hhs.gov","Alfred Pistorio")</f>
        <v>Alfred Pistorio</v>
      </c>
    </row>
  </sheetData>
  <pageMargins left="0.15" right="0.15" top="0.25" bottom="0.25" header="0.05" footer="0.05"/>
  <pageSetup orientation="landscape" r:id="rId1"/>
  <tableParts count="1">
    <tablePart r:id="rId2"/>
  </tablePart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AFD2E-6205-446A-9757-DA7EF1F4E213}">
  <sheetPr>
    <pageSetUpPr fitToPage="1"/>
  </sheetPr>
  <dimension ref="A1:O4"/>
  <sheetViews>
    <sheetView workbookViewId="0"/>
  </sheetViews>
  <sheetFormatPr defaultRowHeight="15" x14ac:dyDescent="0.25"/>
  <cols>
    <col min="1" max="1" width="33.7109375" customWidth="1"/>
    <col min="2" max="2" width="14.85546875" customWidth="1"/>
    <col min="3" max="3" width="18.42578125" customWidth="1"/>
    <col min="4" max="4" width="22" customWidth="1"/>
    <col min="5" max="13" width="17.28515625" customWidth="1"/>
    <col min="14" max="14" width="14.85546875" customWidth="1"/>
    <col min="15" max="15" width="13.140625" customWidth="1"/>
  </cols>
  <sheetData>
    <row r="1" spans="1:15" x14ac:dyDescent="0.25">
      <c r="A1" t="s">
        <v>1599</v>
      </c>
      <c r="B1" s="2" t="str">
        <f>HYPERLINK("#Introduction!A1","Back to Introduction Page")</f>
        <v>Back to Introduction Page</v>
      </c>
    </row>
    <row r="2" spans="1:15" x14ac:dyDescent="0.25">
      <c r="A2" s="21" t="s">
        <v>1600</v>
      </c>
    </row>
    <row r="3" spans="1:15" ht="45" x14ac:dyDescent="0.25">
      <c r="A3" s="4" t="s">
        <v>15</v>
      </c>
      <c r="B3" s="3" t="s">
        <v>16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21</v>
      </c>
      <c r="H3" s="3" t="s">
        <v>22</v>
      </c>
      <c r="I3" s="3" t="s">
        <v>23</v>
      </c>
      <c r="J3" s="3" t="s">
        <v>24</v>
      </c>
      <c r="K3" s="3" t="s">
        <v>25</v>
      </c>
      <c r="L3" s="3" t="s">
        <v>26</v>
      </c>
      <c r="M3" s="3" t="s">
        <v>27</v>
      </c>
      <c r="N3" s="3" t="s">
        <v>28</v>
      </c>
      <c r="O3" s="5" t="s">
        <v>29</v>
      </c>
    </row>
    <row r="4" spans="1:15" ht="30" x14ac:dyDescent="0.25">
      <c r="A4" s="27" t="s">
        <v>1598</v>
      </c>
      <c r="B4" s="17">
        <v>39059</v>
      </c>
      <c r="C4" s="18">
        <v>1</v>
      </c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20" t="str">
        <f>HYPERLINK("mailto:Joseph.Redditt@fda.hhs.gov","Dan Redditt")</f>
        <v>Dan Redditt</v>
      </c>
    </row>
  </sheetData>
  <pageMargins left="0.15" right="0.15" top="0.25" bottom="0.25" header="0.05" footer="0.05"/>
  <pageSetup orientation="landscape" r:id="rId1"/>
  <tableParts count="1">
    <tablePart r:id="rId2"/>
  </tablePart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2FEA4-0F0D-4590-9F16-649EB85F547A}">
  <sheetPr>
    <pageSetUpPr fitToPage="1"/>
  </sheetPr>
  <dimension ref="A1:O30"/>
  <sheetViews>
    <sheetView workbookViewId="0"/>
  </sheetViews>
  <sheetFormatPr defaultRowHeight="15" x14ac:dyDescent="0.25"/>
  <cols>
    <col min="1" max="1" width="33.7109375" customWidth="1"/>
    <col min="2" max="2" width="14.85546875" customWidth="1"/>
    <col min="3" max="3" width="18.42578125" customWidth="1"/>
    <col min="4" max="4" width="22" customWidth="1"/>
    <col min="5" max="13" width="17.28515625" customWidth="1"/>
    <col min="14" max="14" width="14.85546875" customWidth="1"/>
    <col min="15" max="15" width="13.140625" customWidth="1"/>
  </cols>
  <sheetData>
    <row r="1" spans="1:15" x14ac:dyDescent="0.25">
      <c r="A1" t="s">
        <v>1669</v>
      </c>
      <c r="B1" s="2" t="str">
        <f>HYPERLINK("#Introduction!A1","Back to Introduction Page")</f>
        <v>Back to Introduction Page</v>
      </c>
    </row>
    <row r="2" spans="1:15" x14ac:dyDescent="0.25">
      <c r="A2" s="21" t="s">
        <v>1670</v>
      </c>
    </row>
    <row r="3" spans="1:15" ht="45" x14ac:dyDescent="0.25">
      <c r="A3" s="4" t="s">
        <v>15</v>
      </c>
      <c r="B3" s="3" t="s">
        <v>16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21</v>
      </c>
      <c r="H3" s="3" t="s">
        <v>22</v>
      </c>
      <c r="I3" s="3" t="s">
        <v>23</v>
      </c>
      <c r="J3" s="3" t="s">
        <v>24</v>
      </c>
      <c r="K3" s="3" t="s">
        <v>25</v>
      </c>
      <c r="L3" s="3" t="s">
        <v>26</v>
      </c>
      <c r="M3" s="3" t="s">
        <v>27</v>
      </c>
      <c r="N3" s="3" t="s">
        <v>28</v>
      </c>
      <c r="O3" s="5" t="s">
        <v>29</v>
      </c>
    </row>
    <row r="4" spans="1:15" ht="30" x14ac:dyDescent="0.25">
      <c r="A4" s="6" t="str">
        <f>HYPERLINK("http://alexandriava.gov/health/","Alexandria City Health Department")</f>
        <v>Alexandria City Health Department</v>
      </c>
      <c r="B4" s="7">
        <v>37539</v>
      </c>
      <c r="C4" s="8">
        <v>1</v>
      </c>
      <c r="D4" s="7">
        <v>40847</v>
      </c>
      <c r="E4" s="8" t="s">
        <v>1601</v>
      </c>
      <c r="F4" s="8" t="s">
        <v>1601</v>
      </c>
      <c r="G4" s="8" t="s">
        <v>1601</v>
      </c>
      <c r="H4" s="8" t="s">
        <v>1601</v>
      </c>
      <c r="I4" s="8" t="s">
        <v>1601</v>
      </c>
      <c r="J4" s="8"/>
      <c r="K4" s="8" t="s">
        <v>1601</v>
      </c>
      <c r="L4" s="8"/>
      <c r="M4" s="8" t="s">
        <v>1601</v>
      </c>
      <c r="N4" s="9" t="str">
        <f>HYPERLINK("mailto:Rachel.Stradling@vdh.virginia.gov","Rachel Stradling")</f>
        <v>Rachel Stradling</v>
      </c>
      <c r="O4" s="10" t="str">
        <f>HYPERLINK("mailto:Kenya.Moon@fda.hhs.gov","Kenya Moon")</f>
        <v>Kenya Moon</v>
      </c>
    </row>
    <row r="5" spans="1:15" ht="30" x14ac:dyDescent="0.25">
      <c r="A5" s="6" t="str">
        <f>HYPERLINK("http://alexandriava.gov/health/","Alexandria City Health Department")</f>
        <v>Alexandria City Health Department</v>
      </c>
      <c r="B5" s="7">
        <v>37539</v>
      </c>
      <c r="C5" s="8">
        <v>2</v>
      </c>
      <c r="D5" s="7">
        <v>42641</v>
      </c>
      <c r="E5" s="8" t="s">
        <v>1602</v>
      </c>
      <c r="F5" s="8" t="s">
        <v>1602</v>
      </c>
      <c r="G5" s="8" t="s">
        <v>1603</v>
      </c>
      <c r="H5" s="8" t="s">
        <v>1603</v>
      </c>
      <c r="I5" s="8"/>
      <c r="J5" s="8"/>
      <c r="K5" s="8" t="s">
        <v>1604</v>
      </c>
      <c r="L5" s="8"/>
      <c r="M5" s="8"/>
      <c r="N5" s="9" t="str">
        <f>HYPERLINK("mailto:Rachel.Stradling@vdh.virginia.gov","Rachel Stradling")</f>
        <v>Rachel Stradling</v>
      </c>
      <c r="O5" s="10" t="str">
        <f>HYPERLINK("mailto:Kenya.Moon@fda.hhs.gov","Kenya Moon")</f>
        <v>Kenya Moon</v>
      </c>
    </row>
    <row r="6" spans="1:15" ht="30" x14ac:dyDescent="0.25">
      <c r="A6" s="11" t="str">
        <f>HYPERLINK("http://www.arlingtonva.us/Departments/HumanServices/services/health/HumanServicesServicesHealthPublicHealth.aspx","Arlington County Department of Health")</f>
        <v>Arlington County Department of Health</v>
      </c>
      <c r="B6" s="12">
        <v>37694</v>
      </c>
      <c r="C6" s="13">
        <v>1</v>
      </c>
      <c r="D6" s="12">
        <v>38168</v>
      </c>
      <c r="E6" s="13" t="s">
        <v>1058</v>
      </c>
      <c r="F6" s="13"/>
      <c r="G6" s="13"/>
      <c r="H6" s="13"/>
      <c r="I6" s="13"/>
      <c r="J6" s="13"/>
      <c r="K6" s="13"/>
      <c r="L6" s="13"/>
      <c r="M6" s="13"/>
      <c r="N6" s="14" t="str">
        <f>HYPERLINK("mailto:Epoppell@arlington.va.us","Evelyn Poppell")</f>
        <v>Evelyn Poppell</v>
      </c>
      <c r="O6" s="15" t="str">
        <f>HYPERLINK("mailto:Kenya.Moon@fda.hhs.gov","Kenya Moon")</f>
        <v>Kenya Moon</v>
      </c>
    </row>
    <row r="7" spans="1:15" ht="30" x14ac:dyDescent="0.25">
      <c r="A7" s="28" t="s">
        <v>1605</v>
      </c>
      <c r="B7" s="7">
        <v>42627</v>
      </c>
      <c r="C7" s="8">
        <v>1</v>
      </c>
      <c r="D7" s="7">
        <v>42829</v>
      </c>
      <c r="E7" s="8"/>
      <c r="F7" s="8" t="s">
        <v>1606</v>
      </c>
      <c r="G7" s="8"/>
      <c r="H7" s="8"/>
      <c r="I7" s="8"/>
      <c r="J7" s="8"/>
      <c r="K7" s="8"/>
      <c r="L7" s="8"/>
      <c r="M7" s="8"/>
      <c r="N7" s="9" t="str">
        <f>HYPERLINK("mailto:Jason.Weakley@vdh.virginia.gov","Jason Weakley")</f>
        <v>Jason Weakley</v>
      </c>
      <c r="O7" s="10" t="str">
        <f>HYPERLINK("mailto:Kenya.Moon@fda.hhs.gov","Kenya Moon")</f>
        <v>Kenya Moon</v>
      </c>
    </row>
    <row r="8" spans="1:15" ht="30" x14ac:dyDescent="0.25">
      <c r="A8" s="29" t="s">
        <v>1607</v>
      </c>
      <c r="B8" s="12">
        <v>43007</v>
      </c>
      <c r="C8" s="13">
        <v>1</v>
      </c>
      <c r="D8" s="12">
        <v>43326</v>
      </c>
      <c r="E8" s="13" t="s">
        <v>1608</v>
      </c>
      <c r="F8" s="13" t="s">
        <v>1609</v>
      </c>
      <c r="G8" s="13"/>
      <c r="H8" s="13"/>
      <c r="I8" s="13"/>
      <c r="J8" s="13"/>
      <c r="K8" s="13"/>
      <c r="L8" s="13"/>
      <c r="M8" s="13"/>
      <c r="N8" s="14" t="str">
        <f>HYPERLINK("mailto:jim.bowles@vdh.virginia.gov","James Bowles")</f>
        <v>James Bowles</v>
      </c>
      <c r="O8" s="15" t="str">
        <f>HYPERLINK("mailto:Kenya.Moon@fda.hhs.gov","Kenya Moon")</f>
        <v>Kenya Moon</v>
      </c>
    </row>
    <row r="9" spans="1:15" ht="30" x14ac:dyDescent="0.25">
      <c r="A9" s="28" t="s">
        <v>1610</v>
      </c>
      <c r="B9" s="7">
        <v>42718</v>
      </c>
      <c r="C9" s="8">
        <v>1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10" t="str">
        <f>HYPERLINK("mailto:Kenya.Moon@fda.hhs.gov","Kenya Moon")</f>
        <v>Kenya Moon</v>
      </c>
    </row>
    <row r="10" spans="1:15" ht="30" x14ac:dyDescent="0.25">
      <c r="A10" s="29" t="s">
        <v>1611</v>
      </c>
      <c r="B10" s="12">
        <v>42648</v>
      </c>
      <c r="C10" s="13">
        <v>1</v>
      </c>
      <c r="D10" s="12">
        <v>42831</v>
      </c>
      <c r="E10" s="13" t="s">
        <v>1612</v>
      </c>
      <c r="F10" s="13" t="s">
        <v>1613</v>
      </c>
      <c r="G10" s="13" t="s">
        <v>1614</v>
      </c>
      <c r="H10" s="13" t="s">
        <v>1615</v>
      </c>
      <c r="I10" s="13" t="s">
        <v>1616</v>
      </c>
      <c r="J10" s="13" t="s">
        <v>1168</v>
      </c>
      <c r="K10" s="13" t="s">
        <v>1617</v>
      </c>
      <c r="L10" s="13" t="s">
        <v>1618</v>
      </c>
      <c r="M10" s="13" t="s">
        <v>1619</v>
      </c>
      <c r="N10" s="14" t="str">
        <f>HYPERLINK("mailto:carol.lien@vdh.virginia.gov","Carol Lien")</f>
        <v>Carol Lien</v>
      </c>
      <c r="O10" s="15" t="str">
        <f>HYPERLINK("mailto:Kenya.Moon@fda.hhs.gov","Kenya Moon")</f>
        <v>Kenya Moon</v>
      </c>
    </row>
    <row r="11" spans="1:15" ht="30" x14ac:dyDescent="0.25">
      <c r="A11" s="6" t="str">
        <f>HYPERLINK("http://www.fairfaxcounty.gov/hd/","Fairfax County Department of Health")</f>
        <v>Fairfax County Department of Health</v>
      </c>
      <c r="B11" s="7">
        <v>41282</v>
      </c>
      <c r="C11" s="8">
        <v>1</v>
      </c>
      <c r="D11" s="7">
        <v>38167</v>
      </c>
      <c r="E11" s="8" t="s">
        <v>1620</v>
      </c>
      <c r="F11" s="8" t="s">
        <v>1620</v>
      </c>
      <c r="G11" s="8" t="s">
        <v>1620</v>
      </c>
      <c r="H11" s="8"/>
      <c r="I11" s="8"/>
      <c r="J11" s="8"/>
      <c r="K11" s="8" t="s">
        <v>1620</v>
      </c>
      <c r="L11" s="8"/>
      <c r="M11" s="8" t="s">
        <v>1620</v>
      </c>
      <c r="N11" s="8"/>
      <c r="O11" s="10" t="str">
        <f>HYPERLINK("mailto:Kenya.Moon@fda.hhs.gov","Kenya Moon")</f>
        <v>Kenya Moon</v>
      </c>
    </row>
    <row r="12" spans="1:15" ht="30" x14ac:dyDescent="0.25">
      <c r="A12" s="6" t="str">
        <f>HYPERLINK("http://www.fairfaxcounty.gov/hd/","Fairfax County Department of Health")</f>
        <v>Fairfax County Department of Health</v>
      </c>
      <c r="B12" s="7">
        <v>41282</v>
      </c>
      <c r="C12" s="8">
        <v>2</v>
      </c>
      <c r="D12" s="7">
        <v>42587</v>
      </c>
      <c r="E12" s="8" t="s">
        <v>1621</v>
      </c>
      <c r="F12" s="8" t="s">
        <v>1622</v>
      </c>
      <c r="G12" s="8" t="s">
        <v>1621</v>
      </c>
      <c r="H12" s="8" t="s">
        <v>1623</v>
      </c>
      <c r="I12" s="8"/>
      <c r="J12" s="8" t="s">
        <v>1624</v>
      </c>
      <c r="K12" s="8" t="s">
        <v>1624</v>
      </c>
      <c r="L12" s="8"/>
      <c r="M12" s="8" t="s">
        <v>1625</v>
      </c>
      <c r="N12" s="9" t="str">
        <f>HYPERLINK("mailto:Pieter.Sheehan@fairfaxcounty.gov","Pieter Sheehan")</f>
        <v>Pieter Sheehan</v>
      </c>
      <c r="O12" s="10" t="str">
        <f>HYPERLINK("mailto:Kenya.Moon@fda.hhs.gov","Kenya Moon")</f>
        <v>Kenya Moon</v>
      </c>
    </row>
    <row r="13" spans="1:15" ht="30" x14ac:dyDescent="0.25">
      <c r="A13" s="6" t="str">
        <f>HYPERLINK("http://www.fairfaxcounty.gov/hd/","Fairfax County Department of Health")</f>
        <v>Fairfax County Department of Health</v>
      </c>
      <c r="B13" s="7">
        <v>41282</v>
      </c>
      <c r="C13" s="8">
        <v>3</v>
      </c>
      <c r="D13" s="7">
        <v>43070</v>
      </c>
      <c r="E13" s="8"/>
      <c r="F13" s="8" t="s">
        <v>1626</v>
      </c>
      <c r="G13" s="8" t="s">
        <v>1627</v>
      </c>
      <c r="H13" s="8" t="s">
        <v>1626</v>
      </c>
      <c r="I13" s="8"/>
      <c r="J13" s="8"/>
      <c r="K13" s="8" t="s">
        <v>1627</v>
      </c>
      <c r="L13" s="8"/>
      <c r="M13" s="8"/>
      <c r="N13" s="9" t="str">
        <f>HYPERLINK("mailto:Pieter.Sheehan@fairfaxcounty.gov","Pieter Sheehan")</f>
        <v>Pieter Sheehan</v>
      </c>
      <c r="O13" s="10" t="str">
        <f>HYPERLINK("mailto:Kenya.Moon@fda.hhs.gov","Kenya Moon")</f>
        <v>Kenya Moon</v>
      </c>
    </row>
    <row r="14" spans="1:15" ht="30" x14ac:dyDescent="0.25">
      <c r="A14" s="29" t="s">
        <v>1628</v>
      </c>
      <c r="B14" s="12">
        <v>43019</v>
      </c>
      <c r="C14" s="13">
        <v>1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4" t="str">
        <f>HYPERLINK("mailto:jessica.klemencic@vdh.virginia.gov","Jessica Klemencic")</f>
        <v>Jessica Klemencic</v>
      </c>
      <c r="O14" s="15" t="str">
        <f>HYPERLINK("mailto:Kenya.Moon@fda.hhs.gov","Kenya Moon")</f>
        <v>Kenya Moon</v>
      </c>
    </row>
    <row r="15" spans="1:15" x14ac:dyDescent="0.25">
      <c r="A15" s="28" t="s">
        <v>1629</v>
      </c>
      <c r="B15" s="7">
        <v>43158</v>
      </c>
      <c r="C15" s="8">
        <v>1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9" t="str">
        <f>HYPERLINK("mailto:cindy.mckelvy@vdh.virginia.gov","Cindy McKelvy")</f>
        <v>Cindy McKelvy</v>
      </c>
      <c r="O15" s="10" t="str">
        <f>HYPERLINK("mailto:Kenya.Moon@fda.hhs.gov","Kenya Moon")</f>
        <v>Kenya Moon</v>
      </c>
    </row>
    <row r="16" spans="1:15" x14ac:dyDescent="0.25">
      <c r="A16" s="29" t="s">
        <v>1630</v>
      </c>
      <c r="B16" s="12">
        <v>42628</v>
      </c>
      <c r="C16" s="13">
        <v>1</v>
      </c>
      <c r="D16" s="12">
        <v>42831</v>
      </c>
      <c r="E16" s="13"/>
      <c r="F16" s="13" t="s">
        <v>1613</v>
      </c>
      <c r="G16" s="13"/>
      <c r="H16" s="13"/>
      <c r="I16" s="13"/>
      <c r="J16" s="13"/>
      <c r="K16" s="13"/>
      <c r="L16" s="13"/>
      <c r="M16" s="13"/>
      <c r="N16" s="14" t="str">
        <f>HYPERLINK("mailto:brad.stallard@vdh.virginia.gov","Bradley Stallard")</f>
        <v>Bradley Stallard</v>
      </c>
      <c r="O16" s="15" t="str">
        <f>HYPERLINK("mailto:Kenya.Moon@fda.hhs.gov","Kenya Moon")</f>
        <v>Kenya Moon</v>
      </c>
    </row>
    <row r="17" spans="1:15" x14ac:dyDescent="0.25">
      <c r="A17" s="6" t="str">
        <f>HYPERLINK("http://www.vdh.state.us/lhd/lordfairfax/","Lord Fairfax Health District")</f>
        <v>Lord Fairfax Health District</v>
      </c>
      <c r="B17" s="7">
        <v>41878</v>
      </c>
      <c r="C17" s="8">
        <v>1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9" t="str">
        <f>HYPERLINK("mailto:mason.allen@vdh.virginia.gov","Mason Allen")</f>
        <v>Mason Allen</v>
      </c>
      <c r="O17" s="10" t="str">
        <f>HYPERLINK("mailto:Kenya.Moon@fda.hhs.gov","Kenya Moon")</f>
        <v>Kenya Moon</v>
      </c>
    </row>
    <row r="18" spans="1:15" ht="30" x14ac:dyDescent="0.25">
      <c r="A18" s="11" t="str">
        <f>HYPERLINK("http://www.loudon.gov/health","Loudon County Department of Health")</f>
        <v>Loudon County Department of Health</v>
      </c>
      <c r="B18" s="12">
        <v>40717</v>
      </c>
      <c r="C18" s="13">
        <v>1</v>
      </c>
      <c r="D18" s="12">
        <v>41082</v>
      </c>
      <c r="E18" s="13"/>
      <c r="F18" s="13"/>
      <c r="G18" s="13"/>
      <c r="H18" s="13"/>
      <c r="I18" s="13"/>
      <c r="J18" s="13"/>
      <c r="K18" s="13"/>
      <c r="L18" s="13"/>
      <c r="M18" s="13" t="s">
        <v>1631</v>
      </c>
      <c r="N18" s="13" t="s">
        <v>1632</v>
      </c>
      <c r="O18" s="15" t="str">
        <f>HYPERLINK("mailto:Kenya.Moon@fda.hhs.gov","Kenya Moon")</f>
        <v>Kenya Moon</v>
      </c>
    </row>
    <row r="19" spans="1:15" x14ac:dyDescent="0.25">
      <c r="A19" s="28" t="s">
        <v>1633</v>
      </c>
      <c r="B19" s="7">
        <v>42247</v>
      </c>
      <c r="C19" s="8">
        <v>1</v>
      </c>
      <c r="D19" s="7">
        <v>42551</v>
      </c>
      <c r="E19" s="8" t="s">
        <v>1634</v>
      </c>
      <c r="F19" s="8" t="s">
        <v>1635</v>
      </c>
      <c r="G19" s="8" t="s">
        <v>1636</v>
      </c>
      <c r="H19" s="8"/>
      <c r="I19" s="8"/>
      <c r="J19" s="8"/>
      <c r="K19" s="8"/>
      <c r="L19" s="8"/>
      <c r="M19" s="8"/>
      <c r="N19" s="9" t="str">
        <f>HYPERLINK("mailto:Gary.Coggins@vdh.virginia.gov","Gary Coggins")</f>
        <v>Gary Coggins</v>
      </c>
      <c r="O19" s="10" t="str">
        <f>HYPERLINK("mailto:Kenya.Moon@fda.hhs.gov","Kenya Moon")</f>
        <v>Kenya Moon</v>
      </c>
    </row>
    <row r="20" spans="1:15" ht="30" x14ac:dyDescent="0.25">
      <c r="A20" s="29" t="s">
        <v>1637</v>
      </c>
      <c r="B20" s="12">
        <v>43020</v>
      </c>
      <c r="C20" s="13">
        <v>1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4" t="str">
        <f>HYPERLINK("mailto:paul.harmond@vdh.virginia.gov","Paul Harmond")</f>
        <v>Paul Harmond</v>
      </c>
      <c r="O20" s="15" t="str">
        <f>HYPERLINK("mailto:Kenya.Moon@fda.hhs.gov","Kenya Moon")</f>
        <v>Kenya Moon</v>
      </c>
    </row>
    <row r="21" spans="1:15" x14ac:dyDescent="0.25">
      <c r="A21" s="28" t="s">
        <v>1638</v>
      </c>
      <c r="B21" s="7">
        <v>43021</v>
      </c>
      <c r="C21" s="8">
        <v>1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9" t="str">
        <f>HYPERLINK("mailto:carol.puckett@vdh.virginia.gov","Carol Puckett")</f>
        <v>Carol Puckett</v>
      </c>
      <c r="O21" s="10" t="str">
        <f>HYPERLINK("mailto:Kenya.Moon@fda.hhs.gov","Kenya Moon")</f>
        <v>Kenya Moon</v>
      </c>
    </row>
    <row r="22" spans="1:15" x14ac:dyDescent="0.25">
      <c r="A22" s="11" t="str">
        <f>HYPERLINK("http://www.vdh.state.va.us/lhd/portsmouth","Portsmouth Health District")</f>
        <v>Portsmouth Health District</v>
      </c>
      <c r="B22" s="12">
        <v>41617</v>
      </c>
      <c r="C22" s="13">
        <v>1</v>
      </c>
      <c r="D22" s="12">
        <v>41851</v>
      </c>
      <c r="E22" s="13" t="s">
        <v>1639</v>
      </c>
      <c r="F22" s="13" t="s">
        <v>1639</v>
      </c>
      <c r="G22" s="13" t="s">
        <v>1639</v>
      </c>
      <c r="H22" s="13" t="s">
        <v>1639</v>
      </c>
      <c r="I22" s="13" t="s">
        <v>1640</v>
      </c>
      <c r="J22" s="13" t="s">
        <v>1640</v>
      </c>
      <c r="K22" s="13" t="s">
        <v>1641</v>
      </c>
      <c r="L22" s="13" t="s">
        <v>1641</v>
      </c>
      <c r="M22" s="13" t="s">
        <v>1640</v>
      </c>
      <c r="N22" s="14" t="str">
        <f>HYPERLINK("mailto:Carol.smith@vdh.virginia.gov","Carol Smith")</f>
        <v>Carol Smith</v>
      </c>
      <c r="O22" s="15" t="str">
        <f>HYPERLINK("mailto:Kenya.Moon@fda.hhs.gov","Kenya Moon")</f>
        <v>Kenya Moon</v>
      </c>
    </row>
    <row r="23" spans="1:15" x14ac:dyDescent="0.25">
      <c r="A23" s="11" t="str">
        <f>HYPERLINK("http://www.vdh.state.va.us/lhd/portsmouth","Portsmouth Health District")</f>
        <v>Portsmouth Health District</v>
      </c>
      <c r="B23" s="12">
        <v>41617</v>
      </c>
      <c r="C23" s="13">
        <v>2</v>
      </c>
      <c r="D23" s="12">
        <v>43552</v>
      </c>
      <c r="E23" s="13" t="s">
        <v>1642</v>
      </c>
      <c r="F23" s="13"/>
      <c r="G23" s="13"/>
      <c r="H23" s="13"/>
      <c r="I23" s="13"/>
      <c r="J23" s="13"/>
      <c r="K23" s="13" t="s">
        <v>1642</v>
      </c>
      <c r="L23" s="13"/>
      <c r="M23" s="13"/>
      <c r="N23" s="14" t="str">
        <f>HYPERLINK("mailto:bree.williams@vdh.virginia.gov","Bree Williams")</f>
        <v>Bree Williams</v>
      </c>
      <c r="O23" s="15" t="str">
        <f>HYPERLINK("mailto:Kenya.Moon@fda.hhs.gov","Kenya Moon")</f>
        <v>Kenya Moon</v>
      </c>
    </row>
    <row r="24" spans="1:15" ht="30" x14ac:dyDescent="0.25">
      <c r="A24" s="28" t="s">
        <v>1643</v>
      </c>
      <c r="B24" s="7">
        <v>42648</v>
      </c>
      <c r="C24" s="8">
        <v>1</v>
      </c>
      <c r="D24" s="7">
        <v>42824</v>
      </c>
      <c r="E24" s="8"/>
      <c r="F24" s="8" t="s">
        <v>1644</v>
      </c>
      <c r="G24" s="8"/>
      <c r="H24" s="8"/>
      <c r="I24" s="8"/>
      <c r="J24" s="8"/>
      <c r="K24" s="8"/>
      <c r="L24" s="8"/>
      <c r="M24" s="8"/>
      <c r="N24" s="9" t="str">
        <f>HYPERLINK("mailto:whitney.wright@vdh.virginia.gov","Whitney Wright")</f>
        <v>Whitney Wright</v>
      </c>
      <c r="O24" s="10" t="str">
        <f>HYPERLINK("mailto:Kenya.Moon@fda.hhs.gov","Kenya Moon")</f>
        <v>Kenya Moon</v>
      </c>
    </row>
    <row r="25" spans="1:15" ht="30" x14ac:dyDescent="0.25">
      <c r="A25" s="11" t="str">
        <f>HYPERLINK("http://www.vdh.state.va.us/lhd/thomasjefferson/","Thomas Jefferson Health District")</f>
        <v>Thomas Jefferson Health District</v>
      </c>
      <c r="B25" s="12">
        <v>41569</v>
      </c>
      <c r="C25" s="13">
        <v>1</v>
      </c>
      <c r="D25" s="12">
        <v>41882</v>
      </c>
      <c r="E25" s="13"/>
      <c r="F25" s="13" t="s">
        <v>1645</v>
      </c>
      <c r="G25" s="13" t="s">
        <v>1646</v>
      </c>
      <c r="H25" s="13"/>
      <c r="I25" s="13"/>
      <c r="J25" s="13"/>
      <c r="K25" s="13"/>
      <c r="L25" s="13"/>
      <c r="M25" s="13"/>
      <c r="N25" s="14" t="str">
        <f>HYPERLINK("mailto:John.McClelland@vdh.virginia.gov","Jack McClelland")</f>
        <v>Jack McClelland</v>
      </c>
      <c r="O25" s="15" t="str">
        <f>HYPERLINK("mailto:Kenya.Moon@fda.hhs.gov","Kenya Moon")</f>
        <v>Kenya Moon</v>
      </c>
    </row>
    <row r="26" spans="1:15" ht="30" x14ac:dyDescent="0.25">
      <c r="A26" s="28" t="s">
        <v>1647</v>
      </c>
      <c r="B26" s="7">
        <v>42346</v>
      </c>
      <c r="C26" s="8">
        <v>1</v>
      </c>
      <c r="D26" s="7">
        <v>42538</v>
      </c>
      <c r="E26" s="8" t="s">
        <v>1648</v>
      </c>
      <c r="F26" s="8" t="s">
        <v>1649</v>
      </c>
      <c r="G26" s="8" t="s">
        <v>1650</v>
      </c>
      <c r="H26" s="8" t="s">
        <v>1651</v>
      </c>
      <c r="I26" s="8" t="s">
        <v>1652</v>
      </c>
      <c r="J26" s="8" t="s">
        <v>1653</v>
      </c>
      <c r="K26" s="8" t="s">
        <v>1654</v>
      </c>
      <c r="L26" s="8" t="s">
        <v>1655</v>
      </c>
      <c r="M26" s="8" t="s">
        <v>1656</v>
      </c>
      <c r="N26" s="9" t="str">
        <f>HYPERLINK("mailto:keith.zirkle@vdh.virginia.gov","Keith Zirkle")</f>
        <v>Keith Zirkle</v>
      </c>
      <c r="O26" s="10" t="str">
        <f>HYPERLINK("mailto:Kenya.Moon@fda.hhs.gov","Kenya Moon")</f>
        <v>Kenya Moon</v>
      </c>
    </row>
    <row r="27" spans="1:15" ht="45" x14ac:dyDescent="0.25">
      <c r="A27" s="29" t="s">
        <v>1657</v>
      </c>
      <c r="B27" s="12">
        <v>37879</v>
      </c>
      <c r="C27" s="13">
        <v>1</v>
      </c>
      <c r="D27" s="12">
        <v>40989</v>
      </c>
      <c r="E27" s="13"/>
      <c r="F27" s="13" t="s">
        <v>1658</v>
      </c>
      <c r="G27" s="13" t="s">
        <v>1659</v>
      </c>
      <c r="H27" s="13"/>
      <c r="I27" s="13"/>
      <c r="J27" s="13"/>
      <c r="K27" s="13"/>
      <c r="L27" s="13"/>
      <c r="M27" s="13" t="s">
        <v>1660</v>
      </c>
      <c r="N27" s="14" t="str">
        <f>HYPERLINK("mailto:pamela.miles@vdacs.virginia.gov","Pamela Miles")</f>
        <v>Pamela Miles</v>
      </c>
      <c r="O27" s="15" t="str">
        <f>HYPERLINK("mailto:Kenya.Moon@fda.hhs.gov","Kenya Moon")</f>
        <v>Kenya Moon</v>
      </c>
    </row>
    <row r="28" spans="1:15" ht="45" x14ac:dyDescent="0.25">
      <c r="A28" s="29" t="s">
        <v>1657</v>
      </c>
      <c r="B28" s="12">
        <v>37879</v>
      </c>
      <c r="C28" s="13">
        <v>2</v>
      </c>
      <c r="D28" s="12">
        <v>41821</v>
      </c>
      <c r="E28" s="13"/>
      <c r="F28" s="13" t="s">
        <v>1661</v>
      </c>
      <c r="G28" s="13" t="s">
        <v>1662</v>
      </c>
      <c r="H28" s="13"/>
      <c r="I28" s="13" t="s">
        <v>1663</v>
      </c>
      <c r="J28" s="13"/>
      <c r="K28" s="13" t="s">
        <v>1664</v>
      </c>
      <c r="L28" s="13"/>
      <c r="M28" s="13"/>
      <c r="N28" s="14" t="str">
        <f>HYPERLINK("mailto:pamela.miles@vdacs.virginia.gov","Pamela Miles")</f>
        <v>Pamela Miles</v>
      </c>
      <c r="O28" s="15" t="str">
        <f>HYPERLINK("mailto:Kenya.Moon@fda.hhs.gov","Kenya Moon")</f>
        <v>Kenya Moon</v>
      </c>
    </row>
    <row r="29" spans="1:15" ht="30" x14ac:dyDescent="0.25">
      <c r="A29" s="6" t="str">
        <f>HYPERLINK("http://www.vdh.virginia.gov/","Virginia Department of Health")</f>
        <v>Virginia Department of Health</v>
      </c>
      <c r="B29" s="7">
        <v>37881</v>
      </c>
      <c r="C29" s="8">
        <v>1</v>
      </c>
      <c r="D29" s="7">
        <v>41367</v>
      </c>
      <c r="E29" s="8" t="s">
        <v>1665</v>
      </c>
      <c r="F29" s="8"/>
      <c r="G29" s="8" t="s">
        <v>1666</v>
      </c>
      <c r="H29" s="8"/>
      <c r="I29" s="8"/>
      <c r="J29" s="8"/>
      <c r="K29" s="8" t="s">
        <v>1667</v>
      </c>
      <c r="L29" s="8"/>
      <c r="M29" s="8"/>
      <c r="N29" s="9" t="str">
        <f>HYPERLINK("mailto:Julie.Henderson@vdh.virginia.gov","Julie Henderson")</f>
        <v>Julie Henderson</v>
      </c>
      <c r="O29" s="10" t="str">
        <f>HYPERLINK("mailto:Kenya.Moon@fda.hhs.gov","Kenya Moon")</f>
        <v>Kenya Moon</v>
      </c>
    </row>
    <row r="30" spans="1:15" ht="30" x14ac:dyDescent="0.25">
      <c r="A30" s="30" t="s">
        <v>1668</v>
      </c>
      <c r="B30" s="23">
        <v>43007</v>
      </c>
      <c r="C30" s="24">
        <v>1</v>
      </c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5" t="str">
        <f>HYPERLINK("mailto:darrin.doss@vdh.virginia.gov","Darrin R. Doss")</f>
        <v>Darrin R. Doss</v>
      </c>
      <c r="O30" s="26" t="str">
        <f>HYPERLINK("mailto:Kenya.Moon@fda.hhs.gov","Kenya Moon")</f>
        <v>Kenya Moon</v>
      </c>
    </row>
  </sheetData>
  <pageMargins left="0.15" right="0.15" top="0.25" bottom="0.25" header="0.05" footer="0.05"/>
  <pageSetup orientation="landscape" r:id="rId1"/>
  <tableParts count="1">
    <tablePart r:id="rId2"/>
  </tablePart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498BE-8149-4C69-B4B8-40683815DE66}">
  <sheetPr>
    <pageSetUpPr fitToPage="1"/>
  </sheetPr>
  <dimension ref="A1:O45"/>
  <sheetViews>
    <sheetView workbookViewId="0"/>
  </sheetViews>
  <sheetFormatPr defaultRowHeight="15" x14ac:dyDescent="0.25"/>
  <cols>
    <col min="1" max="1" width="33.7109375" customWidth="1"/>
    <col min="2" max="2" width="14.85546875" customWidth="1"/>
    <col min="3" max="3" width="18.42578125" customWidth="1"/>
    <col min="4" max="4" width="22" customWidth="1"/>
    <col min="5" max="13" width="17.28515625" customWidth="1"/>
    <col min="14" max="14" width="14.85546875" customWidth="1"/>
    <col min="15" max="15" width="13.140625" customWidth="1"/>
  </cols>
  <sheetData>
    <row r="1" spans="1:15" x14ac:dyDescent="0.25">
      <c r="A1" t="s">
        <v>1693</v>
      </c>
      <c r="B1" s="2" t="str">
        <f>HYPERLINK("#Introduction!A1","Back to Introduction Page")</f>
        <v>Back to Introduction Page</v>
      </c>
    </row>
    <row r="2" spans="1:15" x14ac:dyDescent="0.25">
      <c r="A2" s="21" t="s">
        <v>1694</v>
      </c>
    </row>
    <row r="3" spans="1:15" ht="45" x14ac:dyDescent="0.25">
      <c r="A3" s="4" t="s">
        <v>15</v>
      </c>
      <c r="B3" s="3" t="s">
        <v>16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21</v>
      </c>
      <c r="H3" s="3" t="s">
        <v>22</v>
      </c>
      <c r="I3" s="3" t="s">
        <v>23</v>
      </c>
      <c r="J3" s="3" t="s">
        <v>24</v>
      </c>
      <c r="K3" s="3" t="s">
        <v>25</v>
      </c>
      <c r="L3" s="3" t="s">
        <v>26</v>
      </c>
      <c r="M3" s="3" t="s">
        <v>27</v>
      </c>
      <c r="N3" s="3" t="s">
        <v>28</v>
      </c>
      <c r="O3" s="5" t="s">
        <v>29</v>
      </c>
    </row>
    <row r="4" spans="1:15" ht="45" x14ac:dyDescent="0.25">
      <c r="A4" s="6" t="str">
        <f>HYPERLINK("http://www.co.adams.wa.us/departments/health_department/environmental_health.php","Adams County - Environmental Health Services")</f>
        <v>Adams County - Environmental Health Services</v>
      </c>
      <c r="B4" s="7">
        <v>42669</v>
      </c>
      <c r="C4" s="8">
        <v>1</v>
      </c>
      <c r="D4" s="7">
        <v>42991</v>
      </c>
      <c r="E4" s="8"/>
      <c r="F4" s="8"/>
      <c r="G4" s="8"/>
      <c r="H4" s="8"/>
      <c r="I4" s="8"/>
      <c r="J4" s="8"/>
      <c r="K4" s="8"/>
      <c r="L4" s="8"/>
      <c r="M4" s="8"/>
      <c r="N4" s="9" t="str">
        <f>HYPERLINK("mailto:Timmt@co.adams.wa.us","Timm Taff")</f>
        <v>Timm Taff</v>
      </c>
      <c r="O4" s="10" t="str">
        <f>HYPERLINK("mailto:David.Engelskirchen@fda.hhs.gov","David Engelskirchen")</f>
        <v>David Engelskirchen</v>
      </c>
    </row>
    <row r="5" spans="1:15" ht="30" x14ac:dyDescent="0.25">
      <c r="A5" s="11" t="str">
        <f>HYPERLINK("http://www.ac-hd.org/environmental-health/food/","Asotin County Public Health")</f>
        <v>Asotin County Public Health</v>
      </c>
      <c r="B5" s="12">
        <v>42941</v>
      </c>
      <c r="C5" s="13">
        <v>1</v>
      </c>
      <c r="D5" s="12">
        <v>43334</v>
      </c>
      <c r="E5" s="13"/>
      <c r="F5" s="13"/>
      <c r="G5" s="13"/>
      <c r="H5" s="13"/>
      <c r="I5" s="13"/>
      <c r="J5" s="13"/>
      <c r="K5" s="13"/>
      <c r="L5" s="13"/>
      <c r="M5" s="13"/>
      <c r="N5" s="14" t="str">
        <f>HYPERLINK("mailto:JHagen@AC-HD.org","Jeff Hagen")</f>
        <v>Jeff Hagen</v>
      </c>
      <c r="O5" s="15" t="str">
        <f>HYPERLINK("mailto:David.Engelskirchen@fda.hhs.gov","David Engelskirchen")</f>
        <v>David Engelskirchen</v>
      </c>
    </row>
    <row r="6" spans="1:15" ht="30" x14ac:dyDescent="0.25">
      <c r="A6" s="6" t="str">
        <f>HYPERLINK("http://www.bfhd.wa.gov/base/index.php","Benton Franklin Health District")</f>
        <v>Benton Franklin Health District</v>
      </c>
      <c r="B6" s="7">
        <v>40255</v>
      </c>
      <c r="C6" s="8">
        <v>1</v>
      </c>
      <c r="D6" s="7">
        <v>42139</v>
      </c>
      <c r="E6" s="8"/>
      <c r="F6" s="8"/>
      <c r="G6" s="8" t="s">
        <v>1671</v>
      </c>
      <c r="H6" s="8"/>
      <c r="I6" s="8"/>
      <c r="J6" s="8"/>
      <c r="K6" s="8"/>
      <c r="L6" s="8"/>
      <c r="M6" s="8"/>
      <c r="N6" s="9" t="str">
        <f>HYPERLINK("mailto:erint@bfhd.wa.gov","Erin Hockaday")</f>
        <v>Erin Hockaday</v>
      </c>
      <c r="O6" s="10" t="str">
        <f>HYPERLINK("mailto:David.Engelskirchen@fda.hhs.gov","David Engelskirchen")</f>
        <v>David Engelskirchen</v>
      </c>
    </row>
    <row r="7" spans="1:15" ht="30" x14ac:dyDescent="0.25">
      <c r="A7" s="11" t="str">
        <f>HYPERLINK("http://www.cdhd.wa.gov/Food/Food.aspx","Chelan-Douglas Health District")</f>
        <v>Chelan-Douglas Health District</v>
      </c>
      <c r="B7" s="12">
        <v>42978</v>
      </c>
      <c r="C7" s="13">
        <v>1</v>
      </c>
      <c r="D7" s="12">
        <v>43385</v>
      </c>
      <c r="E7" s="13"/>
      <c r="F7" s="13"/>
      <c r="G7" s="13"/>
      <c r="H7" s="13"/>
      <c r="I7" s="13"/>
      <c r="J7" s="13"/>
      <c r="K7" s="13"/>
      <c r="L7" s="13"/>
      <c r="M7" s="13"/>
      <c r="N7" s="14" t="str">
        <f>HYPERLINK("mailto:Rob.Eastman@cdhd.wa.gov","Rob Eastman")</f>
        <v>Rob Eastman</v>
      </c>
      <c r="O7" s="15" t="str">
        <f>HYPERLINK("mailto:David.Engelskirchen@fda.hhs.gov","David Engelskirchen")</f>
        <v>David Engelskirchen</v>
      </c>
    </row>
    <row r="8" spans="1:15" ht="30" x14ac:dyDescent="0.25">
      <c r="A8" s="6" t="str">
        <f>HYPERLINK("http://www.clallam.net/HHS/EnvironmentalHealth/food.html","Clallam County")</f>
        <v>Clallam County</v>
      </c>
      <c r="B8" s="7">
        <v>42963</v>
      </c>
      <c r="C8" s="8">
        <v>1</v>
      </c>
      <c r="D8" s="7">
        <v>42993</v>
      </c>
      <c r="E8" s="8"/>
      <c r="F8" s="8"/>
      <c r="G8" s="8"/>
      <c r="H8" s="8"/>
      <c r="I8" s="8"/>
      <c r="J8" s="8"/>
      <c r="K8" s="8"/>
      <c r="L8" s="8"/>
      <c r="M8" s="8"/>
      <c r="N8" s="9" t="str">
        <f>HYPERLINK("mailto:jpankey@co.clallam.wa.gov","Jess Pankey")</f>
        <v>Jess Pankey</v>
      </c>
      <c r="O8" s="10" t="str">
        <f>HYPERLINK("mailto:David.Engelskirchen@fda.hhs.gov","David Engelskirchen")</f>
        <v>David Engelskirchen</v>
      </c>
    </row>
    <row r="9" spans="1:15" ht="30" x14ac:dyDescent="0.25">
      <c r="A9" s="11" t="str">
        <f>HYPERLINK("https://www.clark.wa.gov/public-health","Clark County Public Health")</f>
        <v>Clark County Public Health</v>
      </c>
      <c r="B9" s="12">
        <v>42674</v>
      </c>
      <c r="C9" s="13">
        <v>1</v>
      </c>
      <c r="D9" s="12">
        <v>42857</v>
      </c>
      <c r="E9" s="13"/>
      <c r="F9" s="13"/>
      <c r="G9" s="13"/>
      <c r="H9" s="13"/>
      <c r="I9" s="13"/>
      <c r="J9" s="13"/>
      <c r="K9" s="13"/>
      <c r="L9" s="13"/>
      <c r="M9" s="13"/>
      <c r="N9" s="14" t="str">
        <f>HYPERLINK("mailto:Brigette.Bashaw@clark.wa.gov","Brigette Bashaw")</f>
        <v>Brigette Bashaw</v>
      </c>
      <c r="O9" s="15" t="str">
        <f>HYPERLINK("mailto:David.Engelskirchen@fda.hhs.gov","David Engelskirchen")</f>
        <v>David Engelskirchen</v>
      </c>
    </row>
    <row r="10" spans="1:15" ht="30" x14ac:dyDescent="0.25">
      <c r="A10" s="6" t="str">
        <f>HYPERLINK("http://www.co.cowlitz.wa.us","Cowlitz County Health Department")</f>
        <v>Cowlitz County Health Department</v>
      </c>
      <c r="B10" s="7">
        <v>42781</v>
      </c>
      <c r="C10" s="8">
        <v>1</v>
      </c>
      <c r="D10" s="7">
        <v>43133</v>
      </c>
      <c r="E10" s="8"/>
      <c r="F10" s="8"/>
      <c r="G10" s="8"/>
      <c r="H10" s="8"/>
      <c r="I10" s="8"/>
      <c r="J10" s="8"/>
      <c r="K10" s="8"/>
      <c r="L10" s="8"/>
      <c r="M10" s="8"/>
      <c r="N10" s="9" t="str">
        <f>HYPERLINK("mailto:SmithJ@co.cowlitz.wa.us","Jesse Smith")</f>
        <v>Jesse Smith</v>
      </c>
      <c r="O10" s="10" t="str">
        <f>HYPERLINK("mailto:David.Engelskirchen@fda.hhs.gov","David Engelskirchen")</f>
        <v>David Engelskirchen</v>
      </c>
    </row>
    <row r="11" spans="1:15" ht="30" x14ac:dyDescent="0.25">
      <c r="A11" s="11" t="str">
        <f>HYPERLINK("http://www.granthealth.org/environmentalhealth.html","Grant County Health District")</f>
        <v>Grant County Health District</v>
      </c>
      <c r="B11" s="12">
        <v>40891</v>
      </c>
      <c r="C11" s="13">
        <v>1</v>
      </c>
      <c r="D11" s="12">
        <v>41058</v>
      </c>
      <c r="E11" s="13"/>
      <c r="F11" s="13"/>
      <c r="G11" s="13"/>
      <c r="H11" s="13"/>
      <c r="I11" s="13"/>
      <c r="J11" s="13"/>
      <c r="K11" s="13"/>
      <c r="L11" s="13"/>
      <c r="M11" s="13"/>
      <c r="N11" s="14" t="str">
        <f>HYPERLINK("mailto:jness@granthealth.org","Jon Ness")</f>
        <v>Jon Ness</v>
      </c>
      <c r="O11" s="15" t="str">
        <f>HYPERLINK("mailto:David.Engelskirchen@fda.hhs.gov","David Engelskirchen")</f>
        <v>David Engelskirchen</v>
      </c>
    </row>
    <row r="12" spans="1:15" ht="30" x14ac:dyDescent="0.25">
      <c r="A12" s="11" t="str">
        <f>HYPERLINK("http://www.granthealth.org/environmentalhealth.html","Grant County Health District")</f>
        <v>Grant County Health District</v>
      </c>
      <c r="B12" s="12">
        <v>40891</v>
      </c>
      <c r="C12" s="13">
        <v>2</v>
      </c>
      <c r="D12" s="12">
        <v>43456</v>
      </c>
      <c r="E12" s="13"/>
      <c r="F12" s="13"/>
      <c r="G12" s="13"/>
      <c r="H12" s="13"/>
      <c r="I12" s="13"/>
      <c r="J12" s="13"/>
      <c r="K12" s="13"/>
      <c r="L12" s="13"/>
      <c r="M12" s="13"/>
      <c r="N12" s="14" t="str">
        <f>HYPERLINK("mailto:jness@granthealth.org","Jon Ness")</f>
        <v>Jon Ness</v>
      </c>
      <c r="O12" s="15" t="str">
        <f>HYPERLINK("mailto:David.Engelskirchen@fda.hhs.gov","David Engelskirchen")</f>
        <v>David Engelskirchen</v>
      </c>
    </row>
    <row r="13" spans="1:15" ht="30" x14ac:dyDescent="0.25">
      <c r="A13" s="6" t="str">
        <f>HYPERLINK("http://www.co.grays-harbor.wa.us/departments/public_services/environmental_health_division/food_section.php","Grays Harbor County")</f>
        <v>Grays Harbor County</v>
      </c>
      <c r="B13" s="7">
        <v>43007</v>
      </c>
      <c r="C13" s="8">
        <v>1</v>
      </c>
      <c r="D13" s="7">
        <v>43391</v>
      </c>
      <c r="E13" s="8"/>
      <c r="F13" s="8"/>
      <c r="G13" s="8"/>
      <c r="H13" s="8"/>
      <c r="I13" s="8"/>
      <c r="J13" s="8"/>
      <c r="K13" s="8"/>
      <c r="L13" s="8"/>
      <c r="M13" s="8"/>
      <c r="N13" s="9" t="str">
        <f>HYPERLINK("mailto:khollatz@grays-harbor.wa.us","Kristina Hollatz")</f>
        <v>Kristina Hollatz</v>
      </c>
      <c r="O13" s="10" t="str">
        <f>HYPERLINK("mailto:David.Engelskirchen@fda.hhs.gov","David Engelskirchen")</f>
        <v>David Engelskirchen</v>
      </c>
    </row>
    <row r="14" spans="1:15" ht="30" x14ac:dyDescent="0.25">
      <c r="A14" s="11" t="str">
        <f>HYPERLINK("https://www.islandcountywa.gov/Health/EH/Food-Service/Pages/Home.aspx","Island County")</f>
        <v>Island County</v>
      </c>
      <c r="B14" s="12">
        <v>42793</v>
      </c>
      <c r="C14" s="13">
        <v>1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4" t="str">
        <f>HYPERLINK("mailto:sallyw@co.island.wa.us","Sally Waters")</f>
        <v>Sally Waters</v>
      </c>
      <c r="O14" s="15" t="str">
        <f>HYPERLINK("mailto:David.Engelskirchen@fda.hhs.gov","David Engelskirchen")</f>
        <v>David Engelskirchen</v>
      </c>
    </row>
    <row r="15" spans="1:15" ht="30" x14ac:dyDescent="0.25">
      <c r="A15" s="6" t="str">
        <f>HYPERLINK("http://jeffersoncountypublichealth.org/204/Environmental-Health","Jefferson County")</f>
        <v>Jefferson County</v>
      </c>
      <c r="B15" s="7">
        <v>43005</v>
      </c>
      <c r="C15" s="8">
        <v>1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9" t="str">
        <f>HYPERLINK("mailto:swhitford@co.jefferson.wa.us","Stuart Whitford")</f>
        <v>Stuart Whitford</v>
      </c>
      <c r="O15" s="10" t="str">
        <f>HYPERLINK("mailto:David.Engelskirchen@fda.hhs.gov","David Engelskirchen")</f>
        <v>David Engelskirchen</v>
      </c>
    </row>
    <row r="16" spans="1:15" ht="30" x14ac:dyDescent="0.25">
      <c r="A16" s="11" t="str">
        <f>HYPERLINK("http://www.kitsappublichealth.org/FoodSafety/","Kitsap Public Health District")</f>
        <v>Kitsap Public Health District</v>
      </c>
      <c r="B16" s="12">
        <v>41086</v>
      </c>
      <c r="C16" s="13">
        <v>1</v>
      </c>
      <c r="D16" s="12">
        <v>41221</v>
      </c>
      <c r="E16" s="13"/>
      <c r="F16" s="13"/>
      <c r="G16" s="13"/>
      <c r="H16" s="13"/>
      <c r="I16" s="13"/>
      <c r="J16" s="13"/>
      <c r="K16" s="13"/>
      <c r="L16" s="13"/>
      <c r="M16" s="13"/>
      <c r="N16" s="14" t="str">
        <f>HYPERLINK("mailto:jim.zimny@kitsappublichealth.org","Jim Zimny")</f>
        <v>Jim Zimny</v>
      </c>
      <c r="O16" s="15" t="str">
        <f>HYPERLINK("mailto:David.Engelskirchen@fda.hhs.gov","David Engelskirchen")</f>
        <v>David Engelskirchen</v>
      </c>
    </row>
    <row r="17" spans="1:15" ht="30" x14ac:dyDescent="0.25">
      <c r="A17" s="11" t="str">
        <f>HYPERLINK("http://www.kitsappublichealth.org/FoodSafety/","Kitsap Public Health District")</f>
        <v>Kitsap Public Health District</v>
      </c>
      <c r="B17" s="12">
        <v>41086</v>
      </c>
      <c r="C17" s="13">
        <v>2</v>
      </c>
      <c r="D17" s="12">
        <v>43000</v>
      </c>
      <c r="E17" s="13"/>
      <c r="F17" s="13"/>
      <c r="G17" s="13"/>
      <c r="H17" s="13"/>
      <c r="I17" s="13"/>
      <c r="J17" s="13"/>
      <c r="K17" s="13"/>
      <c r="L17" s="13"/>
      <c r="M17" s="13"/>
      <c r="N17" s="14" t="str">
        <f>HYPERLINK("mailto:Datna.Katula@kitsappublichealth.org","Dayna Katula")</f>
        <v>Dayna Katula</v>
      </c>
      <c r="O17" s="15" t="str">
        <f>HYPERLINK("mailto:David.Engelskirchen@fda.hhs.gov","David Engelskirchen")</f>
        <v>David Engelskirchen</v>
      </c>
    </row>
    <row r="18" spans="1:15" ht="30" x14ac:dyDescent="0.25">
      <c r="A18" s="6" t="str">
        <f>HYPERLINK("https://www.co.kittitas.wa.us/health/default.aspx","Kittitas County Public Health")</f>
        <v>Kittitas County Public Health</v>
      </c>
      <c r="B18" s="7">
        <v>43234</v>
      </c>
      <c r="C18" s="8">
        <v>1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9" t="str">
        <f>HYPERLINK("mailto:Will.Schwab.ph@co.kittitas.wa.us","Will Schwab")</f>
        <v>Will Schwab</v>
      </c>
      <c r="O18" s="10" t="str">
        <f>HYPERLINK("mailto:David.Engelskirchen@fda.hhs.gov","David Engelskirchen")</f>
        <v>David Engelskirchen</v>
      </c>
    </row>
    <row r="19" spans="1:15" ht="30" x14ac:dyDescent="0.25">
      <c r="A19" s="11" t="str">
        <f>HYPERLINK("http://klickitatcounty.org/289/Public-Health","Klickitat County Health Department")</f>
        <v>Klickitat County Health Department</v>
      </c>
      <c r="B19" s="12">
        <v>43028</v>
      </c>
      <c r="C19" s="13">
        <v>1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4" t="str">
        <f>HYPERLINK("mailto:Davidk@klickitatcounty.org","David Kavanaugh")</f>
        <v>David Kavanaugh</v>
      </c>
      <c r="O19" s="15" t="str">
        <f>HYPERLINK("mailto:David.Engelskirchen@fda.hhs.gov","David Engelskirchen")</f>
        <v>David Engelskirchen</v>
      </c>
    </row>
    <row r="20" spans="1:15" ht="30" x14ac:dyDescent="0.25">
      <c r="A20" s="6" t="str">
        <f>HYPERLINK("www.lewiscountywa.gov/environmental-health/food-safety-program","Lewis County")</f>
        <v>Lewis County</v>
      </c>
      <c r="B20" s="7">
        <v>43395</v>
      </c>
      <c r="C20" s="8">
        <v>1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9" t="str">
        <f>HYPERLINK("mailto:Meredith.Jones@lewiscountywa.gov","Meredith Jones")</f>
        <v>Meredith Jones</v>
      </c>
      <c r="O20" s="10" t="str">
        <f>HYPERLINK("mailto:David.Engelskirchen@fda.hhs.gov","David Engelskirchen")</f>
        <v>David Engelskirchen</v>
      </c>
    </row>
    <row r="21" spans="1:15" ht="30" x14ac:dyDescent="0.25">
      <c r="A21" s="11" t="str">
        <f>HYPERLINK("http://www.co.mason.wa.us","Mason County")</f>
        <v>Mason County</v>
      </c>
      <c r="B21" s="12">
        <v>42709</v>
      </c>
      <c r="C21" s="13">
        <v>1</v>
      </c>
      <c r="D21" s="12">
        <v>42879</v>
      </c>
      <c r="E21" s="13"/>
      <c r="F21" s="13"/>
      <c r="G21" s="13"/>
      <c r="H21" s="13"/>
      <c r="I21" s="13"/>
      <c r="J21" s="13"/>
      <c r="K21" s="13" t="s">
        <v>1672</v>
      </c>
      <c r="L21" s="13"/>
      <c r="M21" s="13"/>
      <c r="N21" s="14" t="str">
        <f>HYPERLINK("mailto:clund@co.mason.wa.us","Cody Lund")</f>
        <v>Cody Lund</v>
      </c>
      <c r="O21" s="15" t="str">
        <f>HYPERLINK("mailto:David.Engelskirchen@fda.hhs.gov","David Engelskirchen")</f>
        <v>David Engelskirchen</v>
      </c>
    </row>
    <row r="22" spans="1:15" ht="30" x14ac:dyDescent="0.25">
      <c r="A22" s="6" t="str">
        <f>HYPERLINK("http://www.netchd.org/","Northeast Tri County Health District")</f>
        <v>Northeast Tri County Health District</v>
      </c>
      <c r="B22" s="7">
        <v>41911</v>
      </c>
      <c r="C22" s="8">
        <v>1</v>
      </c>
      <c r="D22" s="7">
        <v>42991</v>
      </c>
      <c r="E22" s="8"/>
      <c r="F22" s="8"/>
      <c r="G22" s="8"/>
      <c r="H22" s="8"/>
      <c r="I22" s="8"/>
      <c r="J22" s="8"/>
      <c r="K22" s="8"/>
      <c r="L22" s="8"/>
      <c r="M22" s="8"/>
      <c r="N22" s="9" t="str">
        <f>HYPERLINK("mailto:ASpradley@netchd.org","Allysa Spradley")</f>
        <v>Allysa Spradley</v>
      </c>
      <c r="O22" s="10" t="str">
        <f>HYPERLINK("mailto:David.Engelskirchen@fda.hhs.gov","David Engelskirchen")</f>
        <v>David Engelskirchen</v>
      </c>
    </row>
    <row r="23" spans="1:15" ht="30" x14ac:dyDescent="0.25">
      <c r="A23" s="11" t="str">
        <f>HYPERLINK("http://okanogancounty.org/ochd/envirohealth.html","Okanogan County")</f>
        <v>Okanogan County</v>
      </c>
      <c r="B23" s="12">
        <v>43006</v>
      </c>
      <c r="C23" s="13">
        <v>1</v>
      </c>
      <c r="D23" s="12">
        <v>43326</v>
      </c>
      <c r="E23" s="13"/>
      <c r="F23" s="13"/>
      <c r="G23" s="13"/>
      <c r="H23" s="13"/>
      <c r="I23" s="13"/>
      <c r="J23" s="13"/>
      <c r="K23" s="13"/>
      <c r="L23" s="13"/>
      <c r="M23" s="13"/>
      <c r="N23" s="14" t="str">
        <f>HYPERLINK("mailto:mharr@co.okanogan.wa.us","Mike Harr")</f>
        <v>Mike Harr</v>
      </c>
      <c r="O23" s="15" t="str">
        <f>HYPERLINK("mailto:David.Engelskirchen@fda.hhs.gov","David Engelskirchen")</f>
        <v>David Engelskirchen</v>
      </c>
    </row>
    <row r="24" spans="1:15" ht="30" x14ac:dyDescent="0.25">
      <c r="A24" s="6" t="str">
        <f>HYPERLINK("http://www.kingcounty.gov/healthservices/health.aspx","Public Health-Seattle &amp; King County")</f>
        <v>Public Health-Seattle &amp; King County</v>
      </c>
      <c r="B24" s="7">
        <v>37194</v>
      </c>
      <c r="C24" s="8">
        <v>1</v>
      </c>
      <c r="D24" s="7">
        <v>37544</v>
      </c>
      <c r="E24" s="8"/>
      <c r="F24" s="8"/>
      <c r="G24" s="8"/>
      <c r="H24" s="8"/>
      <c r="I24" s="8"/>
      <c r="J24" s="8"/>
      <c r="K24" s="8" t="s">
        <v>1673</v>
      </c>
      <c r="L24" s="8"/>
      <c r="M24" s="8"/>
      <c r="N24" s="9" t="str">
        <f>HYPERLINK("mailto:Becky.Elias@kingcounty.gov","Becky Elias")</f>
        <v>Becky Elias</v>
      </c>
      <c r="O24" s="10" t="str">
        <f>HYPERLINK("mailto:David.Engelskirchen@fda.hhs.gov","David Engelskirchen")</f>
        <v>David Engelskirchen</v>
      </c>
    </row>
    <row r="25" spans="1:15" ht="30" x14ac:dyDescent="0.25">
      <c r="A25" s="6" t="str">
        <f>HYPERLINK("http://www.kingcounty.gov/healthservices/health.aspx","Public Health-Seattle &amp; King County")</f>
        <v>Public Health-Seattle &amp; King County</v>
      </c>
      <c r="B25" s="7">
        <v>37194</v>
      </c>
      <c r="C25" s="8">
        <v>2</v>
      </c>
      <c r="D25" s="7">
        <v>42621</v>
      </c>
      <c r="E25" s="8"/>
      <c r="F25" s="8"/>
      <c r="G25" s="8"/>
      <c r="H25" s="8"/>
      <c r="I25" s="8" t="s">
        <v>1674</v>
      </c>
      <c r="J25" s="8"/>
      <c r="K25" s="8" t="s">
        <v>1675</v>
      </c>
      <c r="L25" s="8"/>
      <c r="M25" s="8"/>
      <c r="N25" s="9" t="str">
        <f>HYPERLINK("mailto:kstraughn@kingcounty.gov","Ki Straughn")</f>
        <v>Ki Straughn</v>
      </c>
      <c r="O25" s="10" t="str">
        <f>HYPERLINK("mailto:David.Engelskirchen@fda.hhs.gov","David Engelskirchen")</f>
        <v>David Engelskirchen</v>
      </c>
    </row>
    <row r="26" spans="1:15" ht="30" x14ac:dyDescent="0.25">
      <c r="A26" s="11" t="str">
        <f>HYPERLINK("www.sanjuanco.com","San Juan County")</f>
        <v>San Juan County</v>
      </c>
      <c r="B26" s="12">
        <v>43385</v>
      </c>
      <c r="C26" s="13">
        <v>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4" t="str">
        <f>HYPERLINK("mailto:kyled@sanjuanco.com","Kyle Dodd")</f>
        <v>Kyle Dodd</v>
      </c>
      <c r="O26" s="15" t="str">
        <f>HYPERLINK("mailto:David.Engelskirchen@fda.hhs.gov","David Engelskirchen")</f>
        <v>David Engelskirchen</v>
      </c>
    </row>
    <row r="27" spans="1:15" ht="30" x14ac:dyDescent="0.25">
      <c r="A27" s="6" t="str">
        <f>HYPERLINK("http://www.skagitcounty.net/food","Skagit County Department of Public Health")</f>
        <v>Skagit County Department of Public Health</v>
      </c>
      <c r="B27" s="7">
        <v>41241</v>
      </c>
      <c r="C27" s="8">
        <v>1</v>
      </c>
      <c r="D27" s="7">
        <v>41241</v>
      </c>
      <c r="E27" s="8"/>
      <c r="F27" s="8"/>
      <c r="G27" s="8"/>
      <c r="H27" s="8"/>
      <c r="I27" s="8"/>
      <c r="J27" s="8"/>
      <c r="K27" s="8"/>
      <c r="L27" s="8"/>
      <c r="M27" s="8"/>
      <c r="N27" s="9" t="str">
        <f>HYPERLINK("mailto:pollyd@co.skagit.wa.us","Polly Dubbel")</f>
        <v>Polly Dubbel</v>
      </c>
      <c r="O27" s="10" t="str">
        <f>HYPERLINK("mailto:David.Engelskirchen@fda.hhs.gov","David Engelskirchen")</f>
        <v>David Engelskirchen</v>
      </c>
    </row>
    <row r="28" spans="1:15" ht="30" x14ac:dyDescent="0.25">
      <c r="A28" s="6" t="str">
        <f>HYPERLINK("http://www.skagitcounty.net/food","Skagit County Department of Public Health")</f>
        <v>Skagit County Department of Public Health</v>
      </c>
      <c r="B28" s="7">
        <v>41241</v>
      </c>
      <c r="C28" s="8">
        <v>2</v>
      </c>
      <c r="D28" s="7">
        <v>43350</v>
      </c>
      <c r="E28" s="8"/>
      <c r="F28" s="8"/>
      <c r="G28" s="8"/>
      <c r="H28" s="8"/>
      <c r="I28" s="8"/>
      <c r="J28" s="8"/>
      <c r="K28" s="8"/>
      <c r="L28" s="8"/>
      <c r="M28" s="8"/>
      <c r="N28" s="9" t="str">
        <f>HYPERLINK("mailto:pollyd@co.skagit.wa.us","Polly Dubbel")</f>
        <v>Polly Dubbel</v>
      </c>
      <c r="O28" s="10" t="str">
        <f>HYPERLINK("mailto:David.Engelskirchen@fda.hhs.gov","David Engelskirchen")</f>
        <v>David Engelskirchen</v>
      </c>
    </row>
    <row r="29" spans="1:15" ht="30" x14ac:dyDescent="0.25">
      <c r="A29" s="11" t="str">
        <f>HYPERLINK("http://www.snohd.org/","Snohomish County Health District")</f>
        <v>Snohomish County Health District</v>
      </c>
      <c r="B29" s="12">
        <v>38709</v>
      </c>
      <c r="C29" s="13">
        <v>1</v>
      </c>
      <c r="D29" s="12">
        <v>39170</v>
      </c>
      <c r="E29" s="13"/>
      <c r="F29" s="13"/>
      <c r="G29" s="13"/>
      <c r="H29" s="13"/>
      <c r="I29" s="13"/>
      <c r="J29" s="13"/>
      <c r="K29" s="13"/>
      <c r="L29" s="13"/>
      <c r="M29" s="13"/>
      <c r="N29" s="14" t="str">
        <f>HYPERLINK("mailto:cstringer@snohd.org","Chris Stringer")</f>
        <v>Chris Stringer</v>
      </c>
      <c r="O29" s="15" t="str">
        <f>HYPERLINK("mailto:David.Engelskirchen@fda.hhs.gov","David Engelskirchen")</f>
        <v>David Engelskirchen</v>
      </c>
    </row>
    <row r="30" spans="1:15" ht="30" x14ac:dyDescent="0.25">
      <c r="A30" s="11" t="str">
        <f>HYPERLINK("http://www.snohd.org/","Snohomish County Health District")</f>
        <v>Snohomish County Health District</v>
      </c>
      <c r="B30" s="12">
        <v>38709</v>
      </c>
      <c r="C30" s="13">
        <v>2</v>
      </c>
      <c r="D30" s="12">
        <v>42594</v>
      </c>
      <c r="E30" s="13"/>
      <c r="F30" s="13"/>
      <c r="G30" s="13" t="s">
        <v>1676</v>
      </c>
      <c r="H30" s="13"/>
      <c r="I30" s="13" t="s">
        <v>1677</v>
      </c>
      <c r="J30" s="13"/>
      <c r="K30" s="13" t="s">
        <v>1678</v>
      </c>
      <c r="L30" s="13"/>
      <c r="M30" s="13"/>
      <c r="N30" s="14" t="str">
        <f>HYPERLINK("mailto:cstringer@snohd.org","Chris Stringer")</f>
        <v>Chris Stringer</v>
      </c>
      <c r="O30" s="15" t="str">
        <f>HYPERLINK("mailto:David.Engelskirchen@fda.hhs.gov","David Engelskirchen")</f>
        <v>David Engelskirchen</v>
      </c>
    </row>
    <row r="31" spans="1:15" ht="30" x14ac:dyDescent="0.25">
      <c r="A31" s="6" t="str">
        <f>HYPERLINK("http://www.srhd.org/services/foodsafe.asp","Spokane Regional Health District")</f>
        <v>Spokane Regional Health District</v>
      </c>
      <c r="B31" s="7">
        <v>40022</v>
      </c>
      <c r="C31" s="8">
        <v>1</v>
      </c>
      <c r="D31" s="7">
        <v>40387</v>
      </c>
      <c r="E31" s="8"/>
      <c r="F31" s="8"/>
      <c r="G31" s="8"/>
      <c r="H31" s="8"/>
      <c r="I31" s="8"/>
      <c r="J31" s="8"/>
      <c r="K31" s="8" t="s">
        <v>1560</v>
      </c>
      <c r="L31" s="8"/>
      <c r="M31" s="8"/>
      <c r="N31" s="9" t="str">
        <f>HYPERLINK("mailto:lbreen@srhd.org","Lisa Breen")</f>
        <v>Lisa Breen</v>
      </c>
      <c r="O31" s="10" t="str">
        <f>HYPERLINK("mailto:David.Engelskirchen@fda.hhs.gov","David Engelskirchen")</f>
        <v>David Engelskirchen</v>
      </c>
    </row>
    <row r="32" spans="1:15" ht="30" x14ac:dyDescent="0.25">
      <c r="A32" s="6" t="str">
        <f>HYPERLINK("http://www.srhd.org/services/foodsafe.asp","Spokane Regional Health District")</f>
        <v>Spokane Regional Health District</v>
      </c>
      <c r="B32" s="7">
        <v>40022</v>
      </c>
      <c r="C32" s="8">
        <v>2</v>
      </c>
      <c r="D32" s="7">
        <v>42955</v>
      </c>
      <c r="E32" s="8"/>
      <c r="F32" s="8"/>
      <c r="G32" s="8"/>
      <c r="H32" s="8"/>
      <c r="I32" s="8"/>
      <c r="J32" s="8"/>
      <c r="K32" s="8" t="s">
        <v>1679</v>
      </c>
      <c r="L32" s="8"/>
      <c r="M32" s="8"/>
      <c r="N32" s="9" t="str">
        <f>HYPERLINK("mailto:smain@srhd.org","Stephen A. Main")</f>
        <v>Stephen A. Main</v>
      </c>
      <c r="O32" s="10" t="str">
        <f>HYPERLINK("mailto:David.Engelskirchen@fda.hhs.gov","David Engelskirchen")</f>
        <v>David Engelskirchen</v>
      </c>
    </row>
    <row r="33" spans="1:15" ht="45" x14ac:dyDescent="0.25">
      <c r="A33" s="11" t="str">
        <f>HYPERLINK("http://www.squaxinisland.org/health_human_services/index.html","Squaxin Island Gaming Commission - Little Creek Casino-Hotel")</f>
        <v>Squaxin Island Gaming Commission - Little Creek Casino-Hotel</v>
      </c>
      <c r="B33" s="12">
        <v>38542</v>
      </c>
      <c r="C33" s="13">
        <v>1</v>
      </c>
      <c r="D33" s="12">
        <v>39120</v>
      </c>
      <c r="E33" s="13"/>
      <c r="F33" s="13"/>
      <c r="G33" s="13"/>
      <c r="H33" s="13"/>
      <c r="I33" s="13"/>
      <c r="J33" s="13"/>
      <c r="K33" s="13"/>
      <c r="L33" s="13"/>
      <c r="M33" s="13"/>
      <c r="N33" s="13" t="s">
        <v>1680</v>
      </c>
      <c r="O33" s="15" t="str">
        <f>HYPERLINK("mailto:David.Engelskirchen@fda.hhs.gov","David Engelskirchen")</f>
        <v>David Engelskirchen</v>
      </c>
    </row>
    <row r="34" spans="1:15" ht="30" x14ac:dyDescent="0.25">
      <c r="A34" s="6" t="str">
        <f>HYPERLINK("http://www.tpchd.org/index.php","Tacoma-Pierce County Health Department")</f>
        <v>Tacoma-Pierce County Health Department</v>
      </c>
      <c r="B34" s="7">
        <v>37974</v>
      </c>
      <c r="C34" s="8">
        <v>1</v>
      </c>
      <c r="D34" s="7">
        <v>38079</v>
      </c>
      <c r="E34" s="8"/>
      <c r="F34" s="8"/>
      <c r="G34" s="8"/>
      <c r="H34" s="8"/>
      <c r="I34" s="8"/>
      <c r="J34" s="8"/>
      <c r="K34" s="8" t="s">
        <v>1681</v>
      </c>
      <c r="L34" s="8"/>
      <c r="M34" s="8"/>
      <c r="N34" s="9" t="str">
        <f>HYPERLINK("mailto:klott@tpchd.org","Katie Lott")</f>
        <v>Katie Lott</v>
      </c>
      <c r="O34" s="10" t="str">
        <f>HYPERLINK("mailto:David.Engelskirchen@fda.hhs.gov","David Engelskirchen")</f>
        <v>David Engelskirchen</v>
      </c>
    </row>
    <row r="35" spans="1:15" ht="30" x14ac:dyDescent="0.25">
      <c r="A35" s="6" t="str">
        <f>HYPERLINK("http://www.tpchd.org/index.php","Tacoma-Pierce County Health Department")</f>
        <v>Tacoma-Pierce County Health Department</v>
      </c>
      <c r="B35" s="7">
        <v>37974</v>
      </c>
      <c r="C35" s="8">
        <v>2</v>
      </c>
      <c r="D35" s="7">
        <v>42179</v>
      </c>
      <c r="E35" s="8"/>
      <c r="F35" s="8" t="s">
        <v>1682</v>
      </c>
      <c r="G35" s="8" t="s">
        <v>1683</v>
      </c>
      <c r="H35" s="8"/>
      <c r="I35" s="8"/>
      <c r="J35" s="8"/>
      <c r="K35" s="8" t="s">
        <v>1684</v>
      </c>
      <c r="L35" s="8"/>
      <c r="M35" s="8" t="s">
        <v>1685</v>
      </c>
      <c r="N35" s="9" t="str">
        <f>HYPERLINK("mailto:klott@tpchd.org","Katie Lott")</f>
        <v>Katie Lott</v>
      </c>
      <c r="O35" s="10" t="str">
        <f>HYPERLINK("mailto:David.Engelskirchen@fda.hhs.gov","David Engelskirchen")</f>
        <v>David Engelskirchen</v>
      </c>
    </row>
    <row r="36" spans="1:15" ht="30" x14ac:dyDescent="0.25">
      <c r="A36" s="11" t="str">
        <f>HYPERLINK("http://www.co.thurston.wa.us/health/ehfood/index.html","Thurston County Environmental Health")</f>
        <v>Thurston County Environmental Health</v>
      </c>
      <c r="B36" s="12">
        <v>41871</v>
      </c>
      <c r="C36" s="13">
        <v>1</v>
      </c>
      <c r="D36" s="12">
        <v>43088</v>
      </c>
      <c r="E36" s="13"/>
      <c r="F36" s="13"/>
      <c r="G36" s="13"/>
      <c r="H36" s="13"/>
      <c r="I36" s="13"/>
      <c r="J36" s="13"/>
      <c r="K36" s="13"/>
      <c r="L36" s="13"/>
      <c r="M36" s="13"/>
      <c r="N36" s="14" t="str">
        <f>HYPERLINK("mailto:bergs@co.thurston.wa.us","Sammy Berg")</f>
        <v>Sammy Berg</v>
      </c>
      <c r="O36" s="15" t="str">
        <f>HYPERLINK("mailto:David.Engelskirchen@fda.hhs.gov","David Engelskirchen")</f>
        <v>David Engelskirchen</v>
      </c>
    </row>
    <row r="37" spans="1:15" ht="45" x14ac:dyDescent="0.25">
      <c r="A37" s="6" t="str">
        <f>HYPERLINK("http://www.mamc.amedd.army.mil/clinical/preventive-medicine/environmental-health-services/default.aspx","US Army JBLM Environmental Health and  Veterinary Services")</f>
        <v>US Army JBLM Environmental Health and  Veterinary Services</v>
      </c>
      <c r="B37" s="7">
        <v>42355</v>
      </c>
      <c r="C37" s="8">
        <v>1</v>
      </c>
      <c r="D37" s="7">
        <v>42860</v>
      </c>
      <c r="E37" s="8" t="s">
        <v>1686</v>
      </c>
      <c r="F37" s="8"/>
      <c r="G37" s="8"/>
      <c r="H37" s="8"/>
      <c r="I37" s="8"/>
      <c r="J37" s="8"/>
      <c r="K37" s="8"/>
      <c r="L37" s="8"/>
      <c r="M37" s="8"/>
      <c r="N37" s="9" t="str">
        <f>HYPERLINK("mailto:sonia.k.beare.civ@mail.mil","Sonia Beare")</f>
        <v>Sonia Beare</v>
      </c>
      <c r="O37" s="10" t="str">
        <f>HYPERLINK("mailto:David.Engelskirchen@fda.hhs.gov","David Engelskirchen")</f>
        <v>David Engelskirchen</v>
      </c>
    </row>
    <row r="38" spans="1:15" ht="30" x14ac:dyDescent="0.25">
      <c r="A38" s="11" t="str">
        <f>HYPERLINK("http://healthywahkiakum.com/services.php","Wahkiakum County")</f>
        <v>Wahkiakum County</v>
      </c>
      <c r="B38" s="12">
        <v>42942</v>
      </c>
      <c r="C38" s="13">
        <v>1</v>
      </c>
      <c r="D38" s="12">
        <v>43440</v>
      </c>
      <c r="E38" s="13"/>
      <c r="F38" s="13"/>
      <c r="G38" s="13"/>
      <c r="H38" s="13"/>
      <c r="I38" s="13"/>
      <c r="J38" s="13"/>
      <c r="K38" s="13"/>
      <c r="L38" s="13"/>
      <c r="M38" s="13"/>
      <c r="N38" s="14" t="str">
        <f>HYPERLINK("mailto:hartmannj@co.wahkiakum.wa.us","Justin Hartmann")</f>
        <v>Justin Hartmann</v>
      </c>
      <c r="O38" s="15" t="str">
        <f>HYPERLINK("mailto:David.Engelskirchen@fda.hhs.gov","David Engelskirchen")</f>
        <v>David Engelskirchen</v>
      </c>
    </row>
    <row r="39" spans="1:15" ht="30" x14ac:dyDescent="0.25">
      <c r="A39" s="6" t="str">
        <f>HYPERLINK("http://www.doh.wa.gov/foodsafety","Washington State Department of Health")</f>
        <v>Washington State Department of Health</v>
      </c>
      <c r="B39" s="7">
        <v>41358</v>
      </c>
      <c r="C39" s="8">
        <v>1</v>
      </c>
      <c r="D39" s="7">
        <v>41667</v>
      </c>
      <c r="E39" s="8"/>
      <c r="F39" s="8"/>
      <c r="G39" s="8"/>
      <c r="H39" s="8"/>
      <c r="I39" s="8" t="s">
        <v>1687</v>
      </c>
      <c r="J39" s="8"/>
      <c r="K39" s="8" t="s">
        <v>1688</v>
      </c>
      <c r="L39" s="8"/>
      <c r="M39" s="8"/>
      <c r="N39" s="8"/>
      <c r="O39" s="10" t="str">
        <f>HYPERLINK("mailto:David.Engelskirchen@fda.hhs.gov","David Engelskirchen")</f>
        <v>David Engelskirchen</v>
      </c>
    </row>
    <row r="40" spans="1:15" ht="30" x14ac:dyDescent="0.25">
      <c r="A40" s="6" t="str">
        <f>HYPERLINK("http://www.doh.wa.gov/foodsafety","Washington State Department of Health")</f>
        <v>Washington State Department of Health</v>
      </c>
      <c r="B40" s="7">
        <v>41358</v>
      </c>
      <c r="C40" s="8">
        <v>2</v>
      </c>
      <c r="D40" s="7">
        <v>43503</v>
      </c>
      <c r="E40" s="8"/>
      <c r="F40" s="8"/>
      <c r="G40" s="8"/>
      <c r="H40" s="8"/>
      <c r="I40" s="8" t="s">
        <v>1689</v>
      </c>
      <c r="J40" s="8"/>
      <c r="K40" s="8" t="s">
        <v>1690</v>
      </c>
      <c r="L40" s="8"/>
      <c r="M40" s="8"/>
      <c r="N40" s="9" t="str">
        <f>HYPERLINK("mailto:helena.barton@doh.wa.gov","Helena Barton")</f>
        <v>Helena Barton</v>
      </c>
      <c r="O40" s="10" t="str">
        <f>HYPERLINK("mailto:David.Engelskirchen@fda.hhs.gov","David Engelskirchen")</f>
        <v>David Engelskirchen</v>
      </c>
    </row>
    <row r="41" spans="1:15" ht="30" x14ac:dyDescent="0.25">
      <c r="A41" s="11" t="str">
        <f>HYPERLINK("http://www.co.whatcom.wa.us","Whatcom County Health Department")</f>
        <v>Whatcom County Health Department</v>
      </c>
      <c r="B41" s="12">
        <v>38071</v>
      </c>
      <c r="C41" s="13">
        <v>1</v>
      </c>
      <c r="D41" s="12">
        <v>38905</v>
      </c>
      <c r="E41" s="13"/>
      <c r="F41" s="13"/>
      <c r="G41" s="13"/>
      <c r="H41" s="13"/>
      <c r="I41" s="13"/>
      <c r="J41" s="13"/>
      <c r="K41" s="13"/>
      <c r="L41" s="13"/>
      <c r="M41" s="13"/>
      <c r="N41" s="14" t="str">
        <f>HYPERLINK("mailto:tkunesh@whatcomcounty.us","Tom Kunesh")</f>
        <v>Tom Kunesh</v>
      </c>
      <c r="O41" s="15" t="str">
        <f>HYPERLINK("mailto:David.Engelskirchen@fda.hhs.gov","David Engelskirchen")</f>
        <v>David Engelskirchen</v>
      </c>
    </row>
    <row r="42" spans="1:15" ht="30" x14ac:dyDescent="0.25">
      <c r="A42" s="11" t="str">
        <f>HYPERLINK("http://www.co.whatcom.wa.us","Whatcom County Health Department")</f>
        <v>Whatcom County Health Department</v>
      </c>
      <c r="B42" s="12">
        <v>38071</v>
      </c>
      <c r="C42" s="13">
        <v>2</v>
      </c>
      <c r="D42" s="12">
        <v>40350</v>
      </c>
      <c r="E42" s="13"/>
      <c r="F42" s="13"/>
      <c r="G42" s="13"/>
      <c r="H42" s="13"/>
      <c r="I42" s="13"/>
      <c r="J42" s="13"/>
      <c r="K42" s="13" t="s">
        <v>1691</v>
      </c>
      <c r="L42" s="13"/>
      <c r="M42" s="13"/>
      <c r="N42" s="14" t="str">
        <f>HYPERLINK("mailto:tkunesh@whatcomcounty.us","Tom Kunesh")</f>
        <v>Tom Kunesh</v>
      </c>
      <c r="O42" s="15" t="str">
        <f>HYPERLINK("mailto:David.Engelskirchen@fda.hhs.gov","David Engelskirchen")</f>
        <v>David Engelskirchen</v>
      </c>
    </row>
    <row r="43" spans="1:15" ht="30" x14ac:dyDescent="0.25">
      <c r="A43" s="6" t="str">
        <f>HYPERLINK("http://www.whitmancounty.org/","Whitman County Health Department")</f>
        <v>Whitman County Health Department</v>
      </c>
      <c r="B43" s="7">
        <v>40049</v>
      </c>
      <c r="C43" s="8">
        <v>1</v>
      </c>
      <c r="D43" s="7">
        <v>40303</v>
      </c>
      <c r="E43" s="8"/>
      <c r="F43" s="8"/>
      <c r="G43" s="8"/>
      <c r="H43" s="8"/>
      <c r="I43" s="8"/>
      <c r="J43" s="8"/>
      <c r="K43" s="8" t="s">
        <v>1692</v>
      </c>
      <c r="L43" s="8"/>
      <c r="M43" s="8"/>
      <c r="N43" s="9" t="str">
        <f>HYPERLINK("mailto:chris.skidmore@co.whitman.wa.us","Chris Skidmore")</f>
        <v>Chris Skidmore</v>
      </c>
      <c r="O43" s="10" t="str">
        <f>HYPERLINK("mailto:David.Engelskirchen@fda.hhs.gov","David Engelskirchen")</f>
        <v>David Engelskirchen</v>
      </c>
    </row>
    <row r="44" spans="1:15" ht="30" x14ac:dyDescent="0.25">
      <c r="A44" s="6" t="str">
        <f>HYPERLINK("http://www.whitmancounty.org/","Whitman County Health Department")</f>
        <v>Whitman County Health Department</v>
      </c>
      <c r="B44" s="7">
        <v>40049</v>
      </c>
      <c r="C44" s="8">
        <v>2</v>
      </c>
      <c r="D44" s="7">
        <v>42901</v>
      </c>
      <c r="E44" s="8"/>
      <c r="F44" s="8"/>
      <c r="G44" s="8"/>
      <c r="H44" s="8"/>
      <c r="I44" s="8"/>
      <c r="J44" s="8"/>
      <c r="K44" s="8"/>
      <c r="L44" s="8"/>
      <c r="M44" s="8"/>
      <c r="N44" s="9" t="str">
        <f>HYPERLINK("mailto:chelsea.cannard@co.whitman.wa.us","Chelsea Cannard")</f>
        <v>Chelsea Cannard</v>
      </c>
      <c r="O44" s="10" t="str">
        <f>HYPERLINK("mailto:David.Engelskirchen@fda.hhs.gov","David Engelskirchen")</f>
        <v>David Engelskirchen</v>
      </c>
    </row>
    <row r="45" spans="1:15" ht="30" x14ac:dyDescent="0.25">
      <c r="A45" s="22" t="str">
        <f>HYPERLINK("http://www.yakimapublichealth.org","Yakima Health District")</f>
        <v>Yakima Health District</v>
      </c>
      <c r="B45" s="23">
        <v>42983</v>
      </c>
      <c r="C45" s="24">
        <v>1</v>
      </c>
      <c r="D45" s="23">
        <v>43000</v>
      </c>
      <c r="E45" s="24"/>
      <c r="F45" s="24"/>
      <c r="G45" s="24"/>
      <c r="H45" s="24"/>
      <c r="I45" s="24"/>
      <c r="J45" s="24"/>
      <c r="K45" s="24"/>
      <c r="L45" s="24"/>
      <c r="M45" s="24"/>
      <c r="N45" s="25" t="str">
        <f>HYPERLINK("mailto:Holly.Myers@co.yakima.wa.us","Holly Myers")</f>
        <v>Holly Myers</v>
      </c>
      <c r="O45" s="26" t="str">
        <f>HYPERLINK("mailto:David.Engelskirchen@fda.hhs.gov","David Engelskirchen")</f>
        <v>David Engelskirchen</v>
      </c>
    </row>
  </sheetData>
  <pageMargins left="0.15" right="0.15" top="0.25" bottom="0.25" header="0.05" footer="0.05"/>
  <pageSetup orientation="landscape" r:id="rId1"/>
  <tableParts count="1">
    <tablePart r:id="rId2"/>
  </tablePart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7EF73-D9E8-486A-88FC-AA3E7B5C6656}">
  <sheetPr>
    <pageSetUpPr fitToPage="1"/>
  </sheetPr>
  <dimension ref="A1:O6"/>
  <sheetViews>
    <sheetView workbookViewId="0"/>
  </sheetViews>
  <sheetFormatPr defaultRowHeight="15" x14ac:dyDescent="0.25"/>
  <cols>
    <col min="1" max="1" width="33.7109375" customWidth="1"/>
    <col min="2" max="2" width="14.85546875" customWidth="1"/>
    <col min="3" max="3" width="18.42578125" customWidth="1"/>
    <col min="4" max="4" width="22" customWidth="1"/>
    <col min="5" max="13" width="17.28515625" customWidth="1"/>
    <col min="14" max="14" width="14.85546875" customWidth="1"/>
    <col min="15" max="15" width="13.140625" customWidth="1"/>
  </cols>
  <sheetData>
    <row r="1" spans="1:15" x14ac:dyDescent="0.25">
      <c r="A1" t="s">
        <v>1699</v>
      </c>
      <c r="B1" s="2" t="str">
        <f>HYPERLINK("#Introduction!A1","Back to Introduction Page")</f>
        <v>Back to Introduction Page</v>
      </c>
    </row>
    <row r="2" spans="1:15" x14ac:dyDescent="0.25">
      <c r="A2" s="21" t="s">
        <v>1700</v>
      </c>
    </row>
    <row r="3" spans="1:15" ht="45" x14ac:dyDescent="0.25">
      <c r="A3" s="4" t="s">
        <v>15</v>
      </c>
      <c r="B3" s="3" t="s">
        <v>16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21</v>
      </c>
      <c r="H3" s="3" t="s">
        <v>22</v>
      </c>
      <c r="I3" s="3" t="s">
        <v>23</v>
      </c>
      <c r="J3" s="3" t="s">
        <v>24</v>
      </c>
      <c r="K3" s="3" t="s">
        <v>25</v>
      </c>
      <c r="L3" s="3" t="s">
        <v>26</v>
      </c>
      <c r="M3" s="3" t="s">
        <v>27</v>
      </c>
      <c r="N3" s="3" t="s">
        <v>28</v>
      </c>
      <c r="O3" s="5" t="s">
        <v>29</v>
      </c>
    </row>
    <row r="4" spans="1:15" ht="45" x14ac:dyDescent="0.25">
      <c r="A4" s="6" t="str">
        <f>HYPERLINK("http://doh.dc.gov/doh/site/default.asp","District of Columbia Department of Health/Food Protection Division")</f>
        <v>District of Columbia Department of Health/Food Protection Division</v>
      </c>
      <c r="B4" s="7">
        <v>37879</v>
      </c>
      <c r="C4" s="8">
        <v>1</v>
      </c>
      <c r="D4" s="7">
        <v>41060</v>
      </c>
      <c r="E4" s="8"/>
      <c r="F4" s="8"/>
      <c r="G4" s="8" t="s">
        <v>516</v>
      </c>
      <c r="H4" s="8"/>
      <c r="I4" s="8"/>
      <c r="J4" s="8"/>
      <c r="K4" s="8" t="s">
        <v>516</v>
      </c>
      <c r="L4" s="8"/>
      <c r="M4" s="8"/>
      <c r="N4" s="8" t="s">
        <v>1695</v>
      </c>
      <c r="O4" s="10" t="str">
        <f>HYPERLINK("mailto:Kenya.Moon@fda.hhs.gov","Kenya Moon")</f>
        <v>Kenya Moon</v>
      </c>
    </row>
    <row r="5" spans="1:15" ht="45" x14ac:dyDescent="0.25">
      <c r="A5" s="6" t="str">
        <f>HYPERLINK("http://doh.dc.gov/doh/site/default.asp","District of Columbia Department of Health/Food Protection Division")</f>
        <v>District of Columbia Department of Health/Food Protection Division</v>
      </c>
      <c r="B5" s="7">
        <v>37879</v>
      </c>
      <c r="C5" s="8">
        <v>2</v>
      </c>
      <c r="D5" s="7">
        <v>42716</v>
      </c>
      <c r="E5" s="8" t="s">
        <v>1696</v>
      </c>
      <c r="F5" s="8"/>
      <c r="G5" s="8" t="s">
        <v>1697</v>
      </c>
      <c r="H5" s="8"/>
      <c r="I5" s="8"/>
      <c r="J5" s="8"/>
      <c r="K5" s="8" t="s">
        <v>1697</v>
      </c>
      <c r="L5" s="8"/>
      <c r="M5" s="8"/>
      <c r="N5" s="9" t="str">
        <f>HYPERLINK("mailto:victoria.grover@dc.gov","Victoria Grover")</f>
        <v>Victoria Grover</v>
      </c>
      <c r="O5" s="10" t="str">
        <f>HYPERLINK("mailto:Kenya.Moon@fda.hhs.gov","Kenya Moon")</f>
        <v>Kenya Moon</v>
      </c>
    </row>
    <row r="6" spans="1:15" x14ac:dyDescent="0.25">
      <c r="A6" s="22" t="str">
        <f>HYPERLINK("http://www.nps.gov/public_health/","National Park Service")</f>
        <v>National Park Service</v>
      </c>
      <c r="B6" s="23">
        <v>38183</v>
      </c>
      <c r="C6" s="24">
        <v>1</v>
      </c>
      <c r="D6" s="23">
        <v>38565</v>
      </c>
      <c r="E6" s="24" t="s">
        <v>1698</v>
      </c>
      <c r="F6" s="24"/>
      <c r="G6" s="24"/>
      <c r="H6" s="24"/>
      <c r="I6" s="24"/>
      <c r="J6" s="24" t="s">
        <v>1698</v>
      </c>
      <c r="K6" s="24"/>
      <c r="L6" s="24"/>
      <c r="M6" s="24"/>
      <c r="N6" s="25" t="str">
        <f>HYPERLINK("mailto:Adam.Kraemer@nps.gov","Adam Kraemer")</f>
        <v>Adam Kraemer</v>
      </c>
      <c r="O6" s="26" t="str">
        <f>HYPERLINK("mailto:Kenya.Moon@fda.hhs.gov","Kenya Moon")</f>
        <v>Kenya Moon</v>
      </c>
    </row>
  </sheetData>
  <pageMargins left="0.15" right="0.15" top="0.25" bottom="0.25" header="0.05" footer="0.05"/>
  <pageSetup orientation="landscape" r:id="rId1"/>
  <tableParts count="1">
    <tablePart r:id="rId2"/>
  </tablePart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F8CF0-BB02-4FFB-90A4-B7DFFC1D9D54}">
  <sheetPr>
    <pageSetUpPr fitToPage="1"/>
  </sheetPr>
  <dimension ref="A1:O11"/>
  <sheetViews>
    <sheetView workbookViewId="0"/>
  </sheetViews>
  <sheetFormatPr defaultRowHeight="15" x14ac:dyDescent="0.25"/>
  <cols>
    <col min="1" max="1" width="33.7109375" customWidth="1"/>
    <col min="2" max="2" width="14.85546875" customWidth="1"/>
    <col min="3" max="3" width="18.42578125" customWidth="1"/>
    <col min="4" max="4" width="22" customWidth="1"/>
    <col min="5" max="13" width="17.28515625" customWidth="1"/>
    <col min="14" max="14" width="14.85546875" customWidth="1"/>
    <col min="15" max="15" width="13.140625" customWidth="1"/>
  </cols>
  <sheetData>
    <row r="1" spans="1:15" x14ac:dyDescent="0.25">
      <c r="A1" t="s">
        <v>1732</v>
      </c>
      <c r="B1" s="2" t="str">
        <f>HYPERLINK("#Introduction!A1","Back to Introduction Page")</f>
        <v>Back to Introduction Page</v>
      </c>
    </row>
    <row r="2" spans="1:15" x14ac:dyDescent="0.25">
      <c r="A2" s="21" t="s">
        <v>1733</v>
      </c>
    </row>
    <row r="3" spans="1:15" ht="45" x14ac:dyDescent="0.25">
      <c r="A3" s="4" t="s">
        <v>15</v>
      </c>
      <c r="B3" s="3" t="s">
        <v>16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21</v>
      </c>
      <c r="H3" s="3" t="s">
        <v>22</v>
      </c>
      <c r="I3" s="3" t="s">
        <v>23</v>
      </c>
      <c r="J3" s="3" t="s">
        <v>24</v>
      </c>
      <c r="K3" s="3" t="s">
        <v>25</v>
      </c>
      <c r="L3" s="3" t="s">
        <v>26</v>
      </c>
      <c r="M3" s="3" t="s">
        <v>27</v>
      </c>
      <c r="N3" s="3" t="s">
        <v>28</v>
      </c>
      <c r="O3" s="5" t="s">
        <v>29</v>
      </c>
    </row>
    <row r="4" spans="1:15" ht="30" x14ac:dyDescent="0.25">
      <c r="A4" s="28" t="s">
        <v>1701</v>
      </c>
      <c r="B4" s="7">
        <v>40123</v>
      </c>
      <c r="C4" s="8">
        <v>1</v>
      </c>
      <c r="D4" s="7">
        <v>40123</v>
      </c>
      <c r="E4" s="8" t="s">
        <v>1702</v>
      </c>
      <c r="F4" s="8"/>
      <c r="G4" s="8"/>
      <c r="H4" s="8"/>
      <c r="I4" s="8"/>
      <c r="J4" s="8"/>
      <c r="K4" s="8"/>
      <c r="L4" s="8"/>
      <c r="M4" s="8"/>
      <c r="N4" s="8" t="s">
        <v>1703</v>
      </c>
      <c r="O4" s="10" t="str">
        <f>HYPERLINK("mailto:Kris.Moore@fda.hhs.gov","Kris Moore")</f>
        <v>Kris Moore</v>
      </c>
    </row>
    <row r="5" spans="1:15" ht="30" x14ac:dyDescent="0.25">
      <c r="A5" s="29" t="s">
        <v>1704</v>
      </c>
      <c r="B5" s="12">
        <v>43383</v>
      </c>
      <c r="C5" s="13">
        <v>1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4" t="str">
        <f>HYPERLINK("mailto:Robert.W.Custard@wv.gov","Robert Custard")</f>
        <v>Robert Custard</v>
      </c>
      <c r="O5" s="15" t="str">
        <f>HYPERLINK("mailto:Kris.Moore@fda.hhs.gov","Kris Moore")</f>
        <v>Kris Moore</v>
      </c>
    </row>
    <row r="6" spans="1:15" ht="30" x14ac:dyDescent="0.25">
      <c r="A6" s="28" t="s">
        <v>1705</v>
      </c>
      <c r="B6" s="7">
        <v>41576</v>
      </c>
      <c r="C6" s="8">
        <v>1</v>
      </c>
      <c r="D6" s="7">
        <v>43039</v>
      </c>
      <c r="E6" s="8"/>
      <c r="F6" s="8"/>
      <c r="G6" s="8"/>
      <c r="H6" s="8"/>
      <c r="I6" s="8"/>
      <c r="J6" s="8"/>
      <c r="K6" s="8"/>
      <c r="L6" s="8"/>
      <c r="M6" s="8"/>
      <c r="N6" s="9" t="str">
        <f>HYPERLINK("mailto:Stanley.B.Mills@wv.gov","Stanley Mills")</f>
        <v>Stanley Mills</v>
      </c>
      <c r="O6" s="10" t="str">
        <f>HYPERLINK("mailto:Kris.Moore@fda.hhs.gov","Kris Moore")</f>
        <v>Kris Moore</v>
      </c>
    </row>
    <row r="7" spans="1:15" ht="30" x14ac:dyDescent="0.25">
      <c r="A7" s="29" t="s">
        <v>1706</v>
      </c>
      <c r="B7" s="12">
        <v>41085</v>
      </c>
      <c r="C7" s="13">
        <v>1</v>
      </c>
      <c r="D7" s="12">
        <v>41088</v>
      </c>
      <c r="E7" s="13" t="s">
        <v>513</v>
      </c>
      <c r="F7" s="13"/>
      <c r="G7" s="13"/>
      <c r="H7" s="13" t="s">
        <v>1707</v>
      </c>
      <c r="I7" s="13"/>
      <c r="J7" s="13" t="s">
        <v>1708</v>
      </c>
      <c r="K7" s="13" t="s">
        <v>513</v>
      </c>
      <c r="L7" s="13"/>
      <c r="M7" s="13"/>
      <c r="N7" s="14" t="str">
        <f>HYPERLINK("mailto:Elizabeth.S.Green@wv.gov","Elizabeth S. Green")</f>
        <v>Elizabeth S. Green</v>
      </c>
      <c r="O7" s="15" t="str">
        <f>HYPERLINK("mailto:Kris.Moore@fda.hhs.gov","Kris Moore")</f>
        <v>Kris Moore</v>
      </c>
    </row>
    <row r="8" spans="1:15" ht="30" x14ac:dyDescent="0.25">
      <c r="A8" s="29" t="s">
        <v>1706</v>
      </c>
      <c r="B8" s="12">
        <v>41085</v>
      </c>
      <c r="C8" s="13">
        <v>2</v>
      </c>
      <c r="D8" s="12">
        <v>42244</v>
      </c>
      <c r="E8" s="13" t="s">
        <v>1709</v>
      </c>
      <c r="F8" s="13"/>
      <c r="G8" s="13"/>
      <c r="H8" s="13" t="s">
        <v>1710</v>
      </c>
      <c r="I8" s="13"/>
      <c r="J8" s="13" t="s">
        <v>1711</v>
      </c>
      <c r="K8" s="13" t="s">
        <v>1712</v>
      </c>
      <c r="L8" s="13"/>
      <c r="M8" s="13" t="s">
        <v>1713</v>
      </c>
      <c r="N8" s="14" t="str">
        <f>HYPERLINK("mailto:Elizabeth.S.Green@wv.gov","Elizabeth S. Green")</f>
        <v>Elizabeth S. Green</v>
      </c>
      <c r="O8" s="15" t="str">
        <f>HYPERLINK("mailto:Kris.Moore@fda.hhs.gov","Kris Moore")</f>
        <v>Kris Moore</v>
      </c>
    </row>
    <row r="9" spans="1:15" ht="75" x14ac:dyDescent="0.25">
      <c r="A9" s="6" t="str">
        <f>HYPERLINK("http://www.dhhr.wv.gov/Pages/default.aspx","West Virginia Department of Health and Human Resources, Office of Environmental Health Services")</f>
        <v>West Virginia Department of Health and Human Resources, Office of Environmental Health Services</v>
      </c>
      <c r="B9" s="7">
        <v>37923</v>
      </c>
      <c r="C9" s="8">
        <v>1</v>
      </c>
      <c r="D9" s="7">
        <v>39624</v>
      </c>
      <c r="E9" s="8" t="s">
        <v>1714</v>
      </c>
      <c r="F9" s="8"/>
      <c r="G9" s="8" t="s">
        <v>1715</v>
      </c>
      <c r="H9" s="8" t="s">
        <v>1716</v>
      </c>
      <c r="I9" s="8"/>
      <c r="J9" s="8"/>
      <c r="K9" s="8" t="s">
        <v>1714</v>
      </c>
      <c r="L9" s="8"/>
      <c r="M9" s="8"/>
      <c r="N9" s="9" t="str">
        <f>HYPERLINK("mailto:Jessica.L.Douglas@wv.gov","Jessica Douglas")</f>
        <v>Jessica Douglas</v>
      </c>
      <c r="O9" s="10" t="str">
        <f>HYPERLINK("mailto:Kris.Moore@fda.hhs.gov","Kris Moore")</f>
        <v>Kris Moore</v>
      </c>
    </row>
    <row r="10" spans="1:15" ht="75" x14ac:dyDescent="0.25">
      <c r="A10" s="6" t="str">
        <f>HYPERLINK("http://www.dhhr.wv.gov/Pages/default.aspx","West Virginia Department of Health and Human Resources, Office of Environmental Health Services")</f>
        <v>West Virginia Department of Health and Human Resources, Office of Environmental Health Services</v>
      </c>
      <c r="B10" s="7">
        <v>37923</v>
      </c>
      <c r="C10" s="8">
        <v>2</v>
      </c>
      <c r="D10" s="7">
        <v>41432</v>
      </c>
      <c r="E10" s="8" t="s">
        <v>1717</v>
      </c>
      <c r="F10" s="8"/>
      <c r="G10" s="8" t="s">
        <v>1718</v>
      </c>
      <c r="H10" s="8" t="s">
        <v>1719</v>
      </c>
      <c r="I10" s="8" t="s">
        <v>1720</v>
      </c>
      <c r="J10" s="8" t="s">
        <v>1719</v>
      </c>
      <c r="K10" s="8" t="s">
        <v>1721</v>
      </c>
      <c r="L10" s="8" t="s">
        <v>1722</v>
      </c>
      <c r="M10" s="8" t="s">
        <v>1723</v>
      </c>
      <c r="N10" s="9" t="str">
        <f>HYPERLINK("mailto:Jessica.L.Douglas@wv.gov","Jessica Douglas")</f>
        <v>Jessica Douglas</v>
      </c>
      <c r="O10" s="10" t="str">
        <f>HYPERLINK("mailto:Kris.Moore@fda.hhs.gov","Kris Moore")</f>
        <v>Kris Moore</v>
      </c>
    </row>
    <row r="11" spans="1:15" ht="75" x14ac:dyDescent="0.25">
      <c r="A11" s="16" t="str">
        <f>HYPERLINK("http://www.dhhr.wv.gov/Pages/default.aspx","West Virginia Department of Health and Human Resources, Office of Environmental Health Services")</f>
        <v>West Virginia Department of Health and Human Resources, Office of Environmental Health Services</v>
      </c>
      <c r="B11" s="17">
        <v>37923</v>
      </c>
      <c r="C11" s="18">
        <v>3</v>
      </c>
      <c r="D11" s="17">
        <v>43152</v>
      </c>
      <c r="E11" s="18" t="s">
        <v>1724</v>
      </c>
      <c r="F11" s="18"/>
      <c r="G11" s="18" t="s">
        <v>1725</v>
      </c>
      <c r="H11" s="18" t="s">
        <v>1726</v>
      </c>
      <c r="I11" s="18" t="s">
        <v>1727</v>
      </c>
      <c r="J11" s="18" t="s">
        <v>1728</v>
      </c>
      <c r="K11" s="18" t="s">
        <v>1729</v>
      </c>
      <c r="L11" s="18" t="s">
        <v>1730</v>
      </c>
      <c r="M11" s="18" t="s">
        <v>1731</v>
      </c>
      <c r="N11" s="19" t="str">
        <f>HYPERLINK("mailto:Jennifer.EB.Hutson@wv.gov","Jennifer Hutson")</f>
        <v>Jennifer Hutson</v>
      </c>
      <c r="O11" s="20" t="str">
        <f>HYPERLINK("mailto:Kris.Moore@fda.hhs.gov","Kris Moore")</f>
        <v>Kris Moore</v>
      </c>
    </row>
  </sheetData>
  <pageMargins left="0.15" right="0.15" top="0.25" bottom="0.25" header="0.05" footer="0.05"/>
  <pageSetup orientation="landscape" r:id="rId1"/>
  <tableParts count="1">
    <tablePart r:id="rId2"/>
  </tablePart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48BDA-F65B-4DEF-AEB3-D742F0372DBF}">
  <sheetPr>
    <pageSetUpPr fitToPage="1"/>
  </sheetPr>
  <dimension ref="A1:O45"/>
  <sheetViews>
    <sheetView workbookViewId="0"/>
  </sheetViews>
  <sheetFormatPr defaultRowHeight="15" x14ac:dyDescent="0.25"/>
  <cols>
    <col min="1" max="1" width="33.7109375" customWidth="1"/>
    <col min="2" max="2" width="14.85546875" customWidth="1"/>
    <col min="3" max="3" width="18.42578125" customWidth="1"/>
    <col min="4" max="4" width="22" customWidth="1"/>
    <col min="5" max="13" width="17.28515625" customWidth="1"/>
    <col min="14" max="14" width="14.85546875" customWidth="1"/>
    <col min="15" max="15" width="13.140625" customWidth="1"/>
  </cols>
  <sheetData>
    <row r="1" spans="1:15" x14ac:dyDescent="0.25">
      <c r="A1" t="s">
        <v>1794</v>
      </c>
      <c r="B1" s="2" t="str">
        <f>HYPERLINK("#Introduction!A1","Back to Introduction Page")</f>
        <v>Back to Introduction Page</v>
      </c>
    </row>
    <row r="2" spans="1:15" x14ac:dyDescent="0.25">
      <c r="A2" s="21" t="s">
        <v>1795</v>
      </c>
    </row>
    <row r="3" spans="1:15" ht="45" x14ac:dyDescent="0.25">
      <c r="A3" s="4" t="s">
        <v>15</v>
      </c>
      <c r="B3" s="3" t="s">
        <v>16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21</v>
      </c>
      <c r="H3" s="3" t="s">
        <v>22</v>
      </c>
      <c r="I3" s="3" t="s">
        <v>23</v>
      </c>
      <c r="J3" s="3" t="s">
        <v>24</v>
      </c>
      <c r="K3" s="3" t="s">
        <v>25</v>
      </c>
      <c r="L3" s="3" t="s">
        <v>26</v>
      </c>
      <c r="M3" s="3" t="s">
        <v>27</v>
      </c>
      <c r="N3" s="3" t="s">
        <v>28</v>
      </c>
      <c r="O3" s="5" t="s">
        <v>29</v>
      </c>
    </row>
    <row r="4" spans="1:15" ht="30" x14ac:dyDescent="0.25">
      <c r="A4" s="28" t="s">
        <v>1734</v>
      </c>
      <c r="B4" s="7">
        <v>40343</v>
      </c>
      <c r="C4" s="8">
        <v>1</v>
      </c>
      <c r="D4" s="8"/>
      <c r="E4" s="8"/>
      <c r="F4" s="8"/>
      <c r="G4" s="8"/>
      <c r="H4" s="8"/>
      <c r="I4" s="8"/>
      <c r="J4" s="8"/>
      <c r="K4" s="8"/>
      <c r="L4" s="8"/>
      <c r="M4" s="8"/>
      <c r="N4" s="8" t="s">
        <v>1735</v>
      </c>
      <c r="O4" s="10" t="str">
        <f>HYPERLINK("mailto:Tracynda.Davis@fda.hhs.gov","Tracynda Davis")</f>
        <v>Tracynda Davis</v>
      </c>
    </row>
    <row r="5" spans="1:15" ht="30" x14ac:dyDescent="0.25">
      <c r="A5" s="29" t="s">
        <v>1736</v>
      </c>
      <c r="B5" s="12">
        <v>43006</v>
      </c>
      <c r="C5" s="13">
        <v>1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4" t="str">
        <f>HYPERLINK("mailto:travis.peterson@co.barron.wi.us","Travis Peterson")</f>
        <v>Travis Peterson</v>
      </c>
      <c r="O5" s="15" t="str">
        <f>HYPERLINK("mailto:Tracynda.Davis@fda.hhs.gov","Tracynda Davis")</f>
        <v>Tracynda Davis</v>
      </c>
    </row>
    <row r="6" spans="1:15" ht="30" x14ac:dyDescent="0.25">
      <c r="A6" s="28" t="s">
        <v>1737</v>
      </c>
      <c r="B6" s="7">
        <v>42682</v>
      </c>
      <c r="C6" s="8">
        <v>1</v>
      </c>
      <c r="D6" s="7">
        <v>43024</v>
      </c>
      <c r="E6" s="8"/>
      <c r="F6" s="8"/>
      <c r="G6" s="8"/>
      <c r="H6" s="8"/>
      <c r="I6" s="8"/>
      <c r="J6" s="8"/>
      <c r="K6" s="8"/>
      <c r="L6" s="8"/>
      <c r="M6" s="8"/>
      <c r="N6" s="9" t="str">
        <f>HYPERLINK("mailto:Calli.heike@co.buffalo.wi.us","Calli Heike")</f>
        <v>Calli Heike</v>
      </c>
      <c r="O6" s="10" t="str">
        <f>HYPERLINK("mailto:Tracynda.Davis@fda.hhs.gov","Tracynda Davis")</f>
        <v>Tracynda Davis</v>
      </c>
    </row>
    <row r="7" spans="1:15" ht="30" x14ac:dyDescent="0.25">
      <c r="A7" s="29" t="s">
        <v>1738</v>
      </c>
      <c r="B7" s="12">
        <v>42696</v>
      </c>
      <c r="C7" s="13">
        <v>1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4" t="str">
        <f>HYPERLINK("mailto:jameskoehler@co.chippewa.wi.us","James Koehler")</f>
        <v>James Koehler</v>
      </c>
      <c r="O7" s="15" t="str">
        <f>HYPERLINK("mailto:Tracynda.Davis@fda.hhs.gov","Tracynda Davis")</f>
        <v>Tracynda Davis</v>
      </c>
    </row>
    <row r="8" spans="1:15" ht="30" x14ac:dyDescent="0.25">
      <c r="A8" s="28" t="s">
        <v>1739</v>
      </c>
      <c r="B8" s="7">
        <v>40246</v>
      </c>
      <c r="C8" s="8">
        <v>1</v>
      </c>
      <c r="D8" s="7">
        <v>40596</v>
      </c>
      <c r="E8" s="8" t="s">
        <v>1740</v>
      </c>
      <c r="F8" s="8" t="s">
        <v>1740</v>
      </c>
      <c r="G8" s="8" t="s">
        <v>1740</v>
      </c>
      <c r="H8" s="8"/>
      <c r="I8" s="8"/>
      <c r="J8" s="8" t="s">
        <v>1740</v>
      </c>
      <c r="K8" s="8"/>
      <c r="L8" s="8"/>
      <c r="M8" s="8"/>
      <c r="N8" s="8" t="s">
        <v>1741</v>
      </c>
      <c r="O8" s="10" t="str">
        <f>HYPERLINK("mailto:Tracynda.Davis@fda.hhs.gov","Tracynda Davis")</f>
        <v>Tracynda Davis</v>
      </c>
    </row>
    <row r="9" spans="1:15" ht="30" x14ac:dyDescent="0.25">
      <c r="A9" s="28" t="s">
        <v>1739</v>
      </c>
      <c r="B9" s="7">
        <v>40246</v>
      </c>
      <c r="C9" s="8">
        <v>2</v>
      </c>
      <c r="D9" s="7">
        <v>43144</v>
      </c>
      <c r="E9" s="8"/>
      <c r="F9" s="8" t="s">
        <v>1742</v>
      </c>
      <c r="G9" s="8" t="s">
        <v>1743</v>
      </c>
      <c r="H9" s="8"/>
      <c r="I9" s="8" t="s">
        <v>1744</v>
      </c>
      <c r="J9" s="8"/>
      <c r="K9" s="8" t="s">
        <v>1482</v>
      </c>
      <c r="L9" s="8"/>
      <c r="M9" s="8"/>
      <c r="N9" s="8" t="s">
        <v>1741</v>
      </c>
      <c r="O9" s="10" t="str">
        <f>HYPERLINK("mailto:Tracynda.Davis@fda.hhs.gov","Tracynda Davis")</f>
        <v>Tracynda Davis</v>
      </c>
    </row>
    <row r="10" spans="1:15" ht="30" x14ac:dyDescent="0.25">
      <c r="A10" s="29" t="s">
        <v>1745</v>
      </c>
      <c r="B10" s="12">
        <v>40249</v>
      </c>
      <c r="C10" s="13">
        <v>1</v>
      </c>
      <c r="D10" s="12">
        <v>40878</v>
      </c>
      <c r="E10" s="13"/>
      <c r="F10" s="13"/>
      <c r="G10" s="13"/>
      <c r="H10" s="13"/>
      <c r="I10" s="13"/>
      <c r="J10" s="13"/>
      <c r="K10" s="13"/>
      <c r="L10" s="13"/>
      <c r="M10" s="13"/>
      <c r="N10" s="14" t="str">
        <f>HYPERLINK("mailto:cevers@milkwaukee.gov","Claire Evers")</f>
        <v>Claire Evers</v>
      </c>
      <c r="O10" s="15" t="str">
        <f>HYPERLINK("mailto:Tracynda.Davis@fda.hhs.gov","Tracynda Davis")</f>
        <v>Tracynda Davis</v>
      </c>
    </row>
    <row r="11" spans="1:15" ht="30" x14ac:dyDescent="0.25">
      <c r="A11" s="29" t="s">
        <v>1745</v>
      </c>
      <c r="B11" s="12">
        <v>40249</v>
      </c>
      <c r="C11" s="13">
        <v>2</v>
      </c>
      <c r="D11" s="12">
        <v>42760</v>
      </c>
      <c r="E11" s="13"/>
      <c r="F11" s="13" t="s">
        <v>1746</v>
      </c>
      <c r="G11" s="13"/>
      <c r="H11" s="13"/>
      <c r="I11" s="13"/>
      <c r="J11" s="13"/>
      <c r="K11" s="13" t="s">
        <v>1747</v>
      </c>
      <c r="L11" s="13"/>
      <c r="M11" s="13"/>
      <c r="N11" s="14" t="str">
        <f>HYPERLINK("mailto:cevers@milkwaukee.gov","Claire Evers")</f>
        <v>Claire Evers</v>
      </c>
      <c r="O11" s="15" t="str">
        <f>HYPERLINK("mailto:Tracynda.Davis@fda.hhs.gov","Tracynda Davis")</f>
        <v>Tracynda Davis</v>
      </c>
    </row>
    <row r="12" spans="1:15" ht="30" x14ac:dyDescent="0.25">
      <c r="A12" s="28" t="s">
        <v>1748</v>
      </c>
      <c r="B12" s="7">
        <v>43007</v>
      </c>
      <c r="C12" s="8">
        <v>1</v>
      </c>
      <c r="D12" s="7">
        <v>43454</v>
      </c>
      <c r="E12" s="8"/>
      <c r="F12" s="8"/>
      <c r="G12" s="8"/>
      <c r="H12" s="8"/>
      <c r="I12" s="8"/>
      <c r="J12" s="8"/>
      <c r="K12" s="8" t="s">
        <v>1749</v>
      </c>
      <c r="L12" s="8"/>
      <c r="M12" s="8"/>
      <c r="N12" s="9" t="str">
        <f>HYPERLINK("mailto:marcia.fernholz@cityofracine.org","Marcia Fernholz")</f>
        <v>Marcia Fernholz</v>
      </c>
      <c r="O12" s="10" t="str">
        <f>HYPERLINK("mailto:Tracynda.Davis@fda.hhs.gov","Tracynda Davis")</f>
        <v>Tracynda Davis</v>
      </c>
    </row>
    <row r="13" spans="1:15" ht="30" x14ac:dyDescent="0.25">
      <c r="A13" s="29" t="s">
        <v>1750</v>
      </c>
      <c r="B13" s="12">
        <v>42226</v>
      </c>
      <c r="C13" s="13">
        <v>1</v>
      </c>
      <c r="D13" s="12">
        <v>42685</v>
      </c>
      <c r="E13" s="13"/>
      <c r="F13" s="13"/>
      <c r="G13" s="13"/>
      <c r="H13" s="13"/>
      <c r="I13" s="13"/>
      <c r="J13" s="13"/>
      <c r="K13" s="13"/>
      <c r="L13" s="13"/>
      <c r="M13" s="13"/>
      <c r="N13" s="14" t="str">
        <f>HYPERLINK("mailto:ltemke@westalliswi.gov","Laura Temke")</f>
        <v>Laura Temke</v>
      </c>
      <c r="O13" s="15" t="str">
        <f>HYPERLINK("mailto:Tracynda.Davis@fda.hhs.gov","Tracynda Davis")</f>
        <v>Tracynda Davis</v>
      </c>
    </row>
    <row r="14" spans="1:15" ht="45" x14ac:dyDescent="0.25">
      <c r="A14" s="28" t="s">
        <v>1751</v>
      </c>
      <c r="B14" s="7">
        <v>42705</v>
      </c>
      <c r="C14" s="8">
        <v>1</v>
      </c>
      <c r="D14" s="7">
        <v>43395</v>
      </c>
      <c r="E14" s="8"/>
      <c r="F14" s="8"/>
      <c r="G14" s="8"/>
      <c r="H14" s="8"/>
      <c r="I14" s="8"/>
      <c r="J14" s="8"/>
      <c r="K14" s="8"/>
      <c r="L14" s="8"/>
      <c r="M14" s="8"/>
      <c r="N14" s="9" t="str">
        <f>HYPERLINK("mailto:Kathy.Ronchi@douglascountywi.org","Kathy Ronchi")</f>
        <v>Kathy Ronchi</v>
      </c>
      <c r="O14" s="10" t="str">
        <f>HYPERLINK("mailto:Tracynda.Davis@fda.hhs.gov","Tracynda Davis")</f>
        <v>Tracynda Davis</v>
      </c>
    </row>
    <row r="15" spans="1:15" ht="30" x14ac:dyDescent="0.25">
      <c r="A15" s="29" t="s">
        <v>1752</v>
      </c>
      <c r="B15" s="12">
        <v>43069</v>
      </c>
      <c r="C15" s="13">
        <v>1</v>
      </c>
      <c r="D15" s="12">
        <v>43544</v>
      </c>
      <c r="E15" s="13"/>
      <c r="F15" s="13"/>
      <c r="G15" s="13"/>
      <c r="H15" s="13"/>
      <c r="I15" s="13"/>
      <c r="J15" s="13"/>
      <c r="K15" s="13"/>
      <c r="L15" s="13"/>
      <c r="M15" s="13"/>
      <c r="N15" s="14" t="str">
        <f>HYPERLINK("mailto:kbergeson@co.dunn.wi.us","Keith Bergeson")</f>
        <v>Keith Bergeson</v>
      </c>
      <c r="O15" s="15" t="str">
        <f>HYPERLINK("mailto:Tracynda.Davis@fda.hhs.gov","Tracynda Davis")</f>
        <v>Tracynda Davis</v>
      </c>
    </row>
    <row r="16" spans="1:15" ht="30" x14ac:dyDescent="0.25">
      <c r="A16" s="28" t="s">
        <v>1753</v>
      </c>
      <c r="B16" s="7">
        <v>41905</v>
      </c>
      <c r="C16" s="8">
        <v>1</v>
      </c>
      <c r="D16" s="7">
        <v>42684</v>
      </c>
      <c r="E16" s="8"/>
      <c r="F16" s="8" t="s">
        <v>1754</v>
      </c>
      <c r="G16" s="8"/>
      <c r="H16" s="8"/>
      <c r="I16" s="8"/>
      <c r="J16" s="8"/>
      <c r="K16" s="8" t="s">
        <v>1754</v>
      </c>
      <c r="L16" s="8"/>
      <c r="M16" s="8"/>
      <c r="N16" s="9" t="str">
        <f>HYPERLINK("mailto:KT.Gallagher@co.eau-claire.wi.us","Kt Gallagher")</f>
        <v>Kt Gallagher</v>
      </c>
      <c r="O16" s="10" t="str">
        <f>HYPERLINK("mailto:Tracynda.Davis@fda.hhs.gov","Tracynda Davis")</f>
        <v>Tracynda Davis</v>
      </c>
    </row>
    <row r="17" spans="1:15" ht="60" x14ac:dyDescent="0.25">
      <c r="A17" s="11" t="str">
        <f>HYPERLINK("http://www.wcchd.org/services/food_and_restaurant/index.php","Environmental Health Consortium Cudahy-St. Francis and South Milkwaukee")</f>
        <v>Environmental Health Consortium Cudahy-St. Francis and South Milkwaukee</v>
      </c>
      <c r="B17" s="12">
        <v>42282</v>
      </c>
      <c r="C17" s="13">
        <v>1</v>
      </c>
      <c r="D17" s="12">
        <v>42993</v>
      </c>
      <c r="E17" s="13"/>
      <c r="F17" s="13"/>
      <c r="G17" s="13"/>
      <c r="H17" s="13"/>
      <c r="I17" s="13"/>
      <c r="J17" s="13"/>
      <c r="K17" s="13"/>
      <c r="L17" s="13"/>
      <c r="M17" s="13"/>
      <c r="N17" s="14" t="str">
        <f>HYPERLINK("mailto:zabkowicz@smwi.org","Martin Zabkowicz")</f>
        <v>Martin Zabkowicz</v>
      </c>
      <c r="O17" s="15" t="str">
        <f>HYPERLINK("mailto:Tracynda.Davis@fda.hhs.gov","Tracynda Davis")</f>
        <v>Tracynda Davis</v>
      </c>
    </row>
    <row r="18" spans="1:15" ht="30" x14ac:dyDescent="0.25">
      <c r="A18" s="28" t="s">
        <v>1755</v>
      </c>
      <c r="B18" s="7">
        <v>42984</v>
      </c>
      <c r="C18" s="8">
        <v>1</v>
      </c>
      <c r="D18" s="7">
        <v>43398</v>
      </c>
      <c r="E18" s="8"/>
      <c r="F18" s="8" t="s">
        <v>1756</v>
      </c>
      <c r="G18" s="8"/>
      <c r="H18" s="8"/>
      <c r="I18" s="8"/>
      <c r="J18" s="8"/>
      <c r="K18" s="8"/>
      <c r="L18" s="8" t="s">
        <v>1757</v>
      </c>
      <c r="M18" s="8"/>
      <c r="N18" s="8" t="s">
        <v>1758</v>
      </c>
      <c r="O18" s="10" t="str">
        <f>HYPERLINK("mailto:Tracynda.Davis@fda.hhs.gov","Tracynda Davis")</f>
        <v>Tracynda Davis</v>
      </c>
    </row>
    <row r="19" spans="1:15" ht="30" x14ac:dyDescent="0.25">
      <c r="A19" s="29" t="s">
        <v>1759</v>
      </c>
      <c r="B19" s="12">
        <v>42664</v>
      </c>
      <c r="C19" s="13">
        <v>1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 t="s">
        <v>1760</v>
      </c>
      <c r="O19" s="15" t="str">
        <f>HYPERLINK("mailto:Tracynda.Davis@fda.hhs.gov","Tracynda Davis")</f>
        <v>Tracynda Davis</v>
      </c>
    </row>
    <row r="20" spans="1:15" ht="30" x14ac:dyDescent="0.25">
      <c r="A20" s="28" t="s">
        <v>1761</v>
      </c>
      <c r="B20" s="7">
        <v>43003</v>
      </c>
      <c r="C20" s="8">
        <v>1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9" t="str">
        <f>HYPERLINK("mailto:lotzerd@ironcountywi.org","Denise Lotzer")</f>
        <v>Denise Lotzer</v>
      </c>
      <c r="O20" s="10" t="str">
        <f>HYPERLINK("mailto:Tracynda.Davis@fda.hhs.gov","Tracynda Davis")</f>
        <v>Tracynda Davis</v>
      </c>
    </row>
    <row r="21" spans="1:15" ht="30" x14ac:dyDescent="0.25">
      <c r="A21" s="29" t="s">
        <v>1762</v>
      </c>
      <c r="B21" s="12">
        <v>42697</v>
      </c>
      <c r="C21" s="13">
        <v>1</v>
      </c>
      <c r="D21" s="12">
        <v>43098</v>
      </c>
      <c r="E21" s="13"/>
      <c r="F21" s="13"/>
      <c r="G21" s="13"/>
      <c r="H21" s="13"/>
      <c r="I21" s="13"/>
      <c r="J21" s="13"/>
      <c r="K21" s="13"/>
      <c r="L21" s="13"/>
      <c r="M21" s="13"/>
      <c r="N21" s="14" t="str">
        <f>HYPERLINK("mailto:susie.west@co.jackson.wi.us","Susie West")</f>
        <v>Susie West</v>
      </c>
      <c r="O21" s="15" t="str">
        <f>HYPERLINK("mailto:Tracynda.Davis@fda.hhs.gov","Tracynda Davis")</f>
        <v>Tracynda Davis</v>
      </c>
    </row>
    <row r="22" spans="1:15" ht="30" x14ac:dyDescent="0.25">
      <c r="A22" s="28" t="s">
        <v>1763</v>
      </c>
      <c r="B22" s="7">
        <v>42677</v>
      </c>
      <c r="C22" s="8">
        <v>1</v>
      </c>
      <c r="D22" s="7">
        <v>43038</v>
      </c>
      <c r="E22" s="8"/>
      <c r="F22" s="8"/>
      <c r="G22" s="8"/>
      <c r="H22" s="8"/>
      <c r="I22" s="8"/>
      <c r="J22" s="8"/>
      <c r="K22" s="8"/>
      <c r="L22" s="8"/>
      <c r="M22" s="8"/>
      <c r="N22" s="9" t="str">
        <f>HYPERLINK("mailto:Mark.melotik@kenoshacounty.org","Mark Melotik")</f>
        <v>Mark Melotik</v>
      </c>
      <c r="O22" s="10" t="str">
        <f>HYPERLINK("mailto:Tracynda.Davis@fda.hhs.gov","Tracynda Davis")</f>
        <v>Tracynda Davis</v>
      </c>
    </row>
    <row r="23" spans="1:15" ht="30" x14ac:dyDescent="0.25">
      <c r="A23" s="29" t="s">
        <v>1764</v>
      </c>
      <c r="B23" s="12">
        <v>43000</v>
      </c>
      <c r="C23" s="13">
        <v>1</v>
      </c>
      <c r="D23" s="12">
        <v>43425</v>
      </c>
      <c r="E23" s="13"/>
      <c r="F23" s="13"/>
      <c r="G23" s="13"/>
      <c r="H23" s="13"/>
      <c r="I23" s="13"/>
      <c r="J23" s="13"/>
      <c r="K23" s="13" t="s">
        <v>1765</v>
      </c>
      <c r="L23" s="13" t="s">
        <v>1765</v>
      </c>
      <c r="M23" s="13"/>
      <c r="N23" s="14" t="str">
        <f>HYPERLINK("mailto:cdrury@lacrossecounty.org","Carol Drury")</f>
        <v>Carol Drury</v>
      </c>
      <c r="O23" s="15" t="str">
        <f>HYPERLINK("mailto:Tracynda.Davis@fda.hhs.gov","Tracynda Davis")</f>
        <v>Tracynda Davis</v>
      </c>
    </row>
    <row r="24" spans="1:15" ht="45" x14ac:dyDescent="0.25">
      <c r="A24" s="28" t="s">
        <v>1766</v>
      </c>
      <c r="B24" s="7">
        <v>39947</v>
      </c>
      <c r="C24" s="8">
        <v>1</v>
      </c>
      <c r="D24" s="7">
        <v>40220</v>
      </c>
      <c r="E24" s="8"/>
      <c r="F24" s="8"/>
      <c r="G24" s="8"/>
      <c r="H24" s="8"/>
      <c r="I24" s="8"/>
      <c r="J24" s="8"/>
      <c r="K24" s="8"/>
      <c r="L24" s="8" t="s">
        <v>1767</v>
      </c>
      <c r="M24" s="8"/>
      <c r="N24" s="8" t="s">
        <v>1768</v>
      </c>
      <c r="O24" s="10" t="str">
        <f>HYPERLINK("mailto:Tracynda.Davis@fda.hhs.gov","Tracynda Davis")</f>
        <v>Tracynda Davis</v>
      </c>
    </row>
    <row r="25" spans="1:15" ht="30" x14ac:dyDescent="0.25">
      <c r="A25" s="29" t="s">
        <v>1769</v>
      </c>
      <c r="B25" s="12">
        <v>43003</v>
      </c>
      <c r="C25" s="13">
        <v>1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4" t="str">
        <f>HYPERLINK("mailto:dale.grosskurth@co.marathon.wi.us","Dale Grosskurth")</f>
        <v>Dale Grosskurth</v>
      </c>
      <c r="O25" s="15" t="str">
        <f>HYPERLINK("mailto:Tracynda.Davis@fda.hhs.gov","Tracynda Davis")</f>
        <v>Tracynda Davis</v>
      </c>
    </row>
    <row r="26" spans="1:15" ht="30" x14ac:dyDescent="0.25">
      <c r="A26" s="28" t="s">
        <v>1770</v>
      </c>
      <c r="B26" s="7">
        <v>42299</v>
      </c>
      <c r="C26" s="8">
        <v>1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9" t="str">
        <f>HYPERLINK("mailto:bsimerly@browndeerwi.org","Brad Simerly")</f>
        <v>Brad Simerly</v>
      </c>
      <c r="O26" s="10" t="str">
        <f>HYPERLINK("mailto:Tracynda.Davis@fda.hhs.gov","Tracynda Davis")</f>
        <v>Tracynda Davis</v>
      </c>
    </row>
    <row r="27" spans="1:15" ht="30" x14ac:dyDescent="0.25">
      <c r="A27" s="29" t="s">
        <v>1771</v>
      </c>
      <c r="B27" s="12">
        <v>42694</v>
      </c>
      <c r="C27" s="13">
        <v>1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4" t="str">
        <f>HYPERLINK("mailto:eruder@oakcreek.wi.org","Elizabeth Ruder")</f>
        <v>Elizabeth Ruder</v>
      </c>
      <c r="O27" s="15" t="str">
        <f>HYPERLINK("mailto:Tracynda.Davis@fda.hhs.gov","Tracynda Davis")</f>
        <v>Tracynda Davis</v>
      </c>
    </row>
    <row r="28" spans="1:15" ht="30" x14ac:dyDescent="0.25">
      <c r="A28" s="28" t="s">
        <v>1772</v>
      </c>
      <c r="B28" s="7">
        <v>39916</v>
      </c>
      <c r="C28" s="8">
        <v>1</v>
      </c>
      <c r="D28" s="7">
        <v>40298</v>
      </c>
      <c r="E28" s="8"/>
      <c r="F28" s="8" t="s">
        <v>1773</v>
      </c>
      <c r="G28" s="8"/>
      <c r="H28" s="8"/>
      <c r="I28" s="8"/>
      <c r="J28" s="8"/>
      <c r="K28" s="8" t="s">
        <v>1773</v>
      </c>
      <c r="L28" s="8"/>
      <c r="M28" s="8" t="s">
        <v>1773</v>
      </c>
      <c r="N28" s="8" t="s">
        <v>1774</v>
      </c>
      <c r="O28" s="10" t="str">
        <f>HYPERLINK("mailto:Tracynda.Davis@fda.hhs.gov","Tracynda Davis")</f>
        <v>Tracynda Davis</v>
      </c>
    </row>
    <row r="29" spans="1:15" ht="30" x14ac:dyDescent="0.25">
      <c r="A29" s="28" t="s">
        <v>1772</v>
      </c>
      <c r="B29" s="7">
        <v>39916</v>
      </c>
      <c r="C29" s="8">
        <v>2</v>
      </c>
      <c r="D29" s="7">
        <v>41906</v>
      </c>
      <c r="E29" s="8"/>
      <c r="F29" s="8" t="s">
        <v>1775</v>
      </c>
      <c r="G29" s="8"/>
      <c r="H29" s="8"/>
      <c r="I29" s="8"/>
      <c r="J29" s="8"/>
      <c r="K29" s="8" t="s">
        <v>1775</v>
      </c>
      <c r="L29" s="8"/>
      <c r="M29" s="8" t="s">
        <v>1776</v>
      </c>
      <c r="N29" s="8" t="s">
        <v>1774</v>
      </c>
      <c r="O29" s="10" t="str">
        <f>HYPERLINK("mailto:Tracynda.Davis@fda.hhs.gov","Tracynda Davis")</f>
        <v>Tracynda Davis</v>
      </c>
    </row>
    <row r="30" spans="1:15" ht="30" x14ac:dyDescent="0.25">
      <c r="A30" s="28" t="s">
        <v>1772</v>
      </c>
      <c r="B30" s="7">
        <v>39916</v>
      </c>
      <c r="C30" s="8">
        <v>3</v>
      </c>
      <c r="D30" s="7">
        <v>42616</v>
      </c>
      <c r="E30" s="8"/>
      <c r="F30" s="8"/>
      <c r="G30" s="8" t="s">
        <v>1777</v>
      </c>
      <c r="H30" s="8"/>
      <c r="I30" s="8"/>
      <c r="J30" s="8"/>
      <c r="K30" s="8"/>
      <c r="L30" s="8"/>
      <c r="M30" s="8"/>
      <c r="N30" s="8" t="s">
        <v>1774</v>
      </c>
      <c r="O30" s="10" t="str">
        <f>HYPERLINK("mailto:Tracynda.Davis@fda.hhs.gov","Tracynda Davis")</f>
        <v>Tracynda Davis</v>
      </c>
    </row>
    <row r="31" spans="1:15" ht="30" x14ac:dyDescent="0.25">
      <c r="A31" s="29" t="s">
        <v>1778</v>
      </c>
      <c r="B31" s="12">
        <v>42677</v>
      </c>
      <c r="C31" s="13">
        <v>1</v>
      </c>
      <c r="D31" s="12">
        <v>43047</v>
      </c>
      <c r="E31" s="13"/>
      <c r="F31" s="13"/>
      <c r="G31" s="13"/>
      <c r="H31" s="13"/>
      <c r="I31" s="13"/>
      <c r="J31" s="13"/>
      <c r="K31" s="13"/>
      <c r="L31" s="13"/>
      <c r="M31" s="13"/>
      <c r="N31" s="14" t="str">
        <f>HYPERLINK("mailto:michele.williams@co.pierce.wi.us","Michele Williams")</f>
        <v>Michele Williams</v>
      </c>
      <c r="O31" s="15" t="str">
        <f>HYPERLINK("mailto:Tracynda.Davis@fda.hhs.gov","Tracynda Davis")</f>
        <v>Tracynda Davis</v>
      </c>
    </row>
    <row r="32" spans="1:15" ht="30" x14ac:dyDescent="0.25">
      <c r="A32" s="28" t="s">
        <v>1779</v>
      </c>
      <c r="B32" s="7">
        <v>40724</v>
      </c>
      <c r="C32" s="8">
        <v>1</v>
      </c>
      <c r="D32" s="7">
        <v>41088</v>
      </c>
      <c r="E32" s="8"/>
      <c r="F32" s="8" t="s">
        <v>513</v>
      </c>
      <c r="G32" s="8"/>
      <c r="H32" s="8" t="s">
        <v>513</v>
      </c>
      <c r="I32" s="8"/>
      <c r="J32" s="8"/>
      <c r="K32" s="8" t="s">
        <v>513</v>
      </c>
      <c r="L32" s="8" t="s">
        <v>513</v>
      </c>
      <c r="M32" s="8"/>
      <c r="N32" s="8" t="s">
        <v>1780</v>
      </c>
      <c r="O32" s="10" t="str">
        <f>HYPERLINK("mailto:Tracynda.Davis@fda.hhs.gov","Tracynda Davis")</f>
        <v>Tracynda Davis</v>
      </c>
    </row>
    <row r="33" spans="1:15" ht="45" x14ac:dyDescent="0.25">
      <c r="A33" s="29" t="s">
        <v>1781</v>
      </c>
      <c r="B33" s="12">
        <v>42702</v>
      </c>
      <c r="C33" s="13">
        <v>1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4" t="str">
        <f>HYPERLINK("mailto:garske@co.portage.wi.us","Gary Garske")</f>
        <v>Gary Garske</v>
      </c>
      <c r="O33" s="15" t="str">
        <f>HYPERLINK("mailto:Tracynda.Davis@fda.hhs.gov","Tracynda Davis")</f>
        <v>Tracynda Davis</v>
      </c>
    </row>
    <row r="34" spans="1:15" ht="45" x14ac:dyDescent="0.25">
      <c r="A34" s="29" t="s">
        <v>1781</v>
      </c>
      <c r="B34" s="12">
        <v>42702</v>
      </c>
      <c r="C34" s="13">
        <v>2</v>
      </c>
      <c r="D34" s="12">
        <v>43138</v>
      </c>
      <c r="E34" s="13"/>
      <c r="F34" s="13"/>
      <c r="G34" s="13"/>
      <c r="H34" s="13"/>
      <c r="I34" s="13"/>
      <c r="J34" s="13"/>
      <c r="K34" s="13"/>
      <c r="L34" s="13"/>
      <c r="M34" s="13"/>
      <c r="N34" s="14" t="str">
        <f>HYPERLINK("mailto:garske@co.portage.wi.us","Gary Garske")</f>
        <v>Gary Garske</v>
      </c>
      <c r="O34" s="15" t="str">
        <f>HYPERLINK("mailto:Tracynda.Davis@fda.hhs.gov","Tracynda Davis")</f>
        <v>Tracynda Davis</v>
      </c>
    </row>
    <row r="35" spans="1:15" ht="30" x14ac:dyDescent="0.25">
      <c r="A35" s="6" t="str">
        <f>HYPERLINK("http://www.publichealthmdc.com/","Public Health Madison and Dane County")</f>
        <v>Public Health Madison and Dane County</v>
      </c>
      <c r="B35" s="7">
        <v>42215</v>
      </c>
      <c r="C35" s="8">
        <v>1</v>
      </c>
      <c r="D35" s="7">
        <v>42490</v>
      </c>
      <c r="E35" s="8"/>
      <c r="F35" s="8"/>
      <c r="G35" s="8"/>
      <c r="H35" s="8"/>
      <c r="I35" s="8"/>
      <c r="J35" s="8"/>
      <c r="K35" s="8" t="s">
        <v>1782</v>
      </c>
      <c r="L35" s="8"/>
      <c r="M35" s="8"/>
      <c r="N35" s="9" t="str">
        <f>HYPERLINK("mailto:bcleary@publichealthmdc.com","Beth Cleary")</f>
        <v>Beth Cleary</v>
      </c>
      <c r="O35" s="10" t="str">
        <f>HYPERLINK("mailto:Tracynda.Davis@fda.hhs.gov","Tracynda Davis")</f>
        <v>Tracynda Davis</v>
      </c>
    </row>
    <row r="36" spans="1:15" ht="30" x14ac:dyDescent="0.25">
      <c r="A36" s="6" t="str">
        <f>HYPERLINK("http://www.publichealthmdc.com/","Public Health Madison and Dane County")</f>
        <v>Public Health Madison and Dane County</v>
      </c>
      <c r="B36" s="7">
        <v>42215</v>
      </c>
      <c r="C36" s="8">
        <v>2</v>
      </c>
      <c r="D36" s="7">
        <v>42775</v>
      </c>
      <c r="E36" s="8"/>
      <c r="F36" s="8"/>
      <c r="G36" s="8"/>
      <c r="H36" s="8"/>
      <c r="I36" s="8"/>
      <c r="J36" s="8"/>
      <c r="K36" s="8" t="s">
        <v>1783</v>
      </c>
      <c r="L36" s="8"/>
      <c r="M36" s="8"/>
      <c r="N36" s="9" t="str">
        <f>HYPERLINK("mailto:bcleary@publichealthmdc.com","Beth Cleary")</f>
        <v>Beth Cleary</v>
      </c>
      <c r="O36" s="10" t="str">
        <f>HYPERLINK("mailto:Tracynda.Davis@fda.hhs.gov","Tracynda Davis")</f>
        <v>Tracynda Davis</v>
      </c>
    </row>
    <row r="37" spans="1:15" ht="30" x14ac:dyDescent="0.25">
      <c r="A37" s="29" t="s">
        <v>1784</v>
      </c>
      <c r="B37" s="12">
        <v>42690</v>
      </c>
      <c r="C37" s="13">
        <v>1</v>
      </c>
      <c r="D37" s="12">
        <v>43080</v>
      </c>
      <c r="E37" s="13"/>
      <c r="F37" s="13" t="s">
        <v>694</v>
      </c>
      <c r="G37" s="13"/>
      <c r="H37" s="13"/>
      <c r="I37" s="13"/>
      <c r="J37" s="13" t="s">
        <v>1615</v>
      </c>
      <c r="K37" s="13"/>
      <c r="L37" s="13" t="s">
        <v>1619</v>
      </c>
      <c r="M37" s="13"/>
      <c r="N37" s="14" t="str">
        <f>HYPERLINK("mailto:wieterse@co.rock.wi.us","Rick Wietersen")</f>
        <v>Rick Wietersen</v>
      </c>
      <c r="O37" s="15" t="str">
        <f>HYPERLINK("mailto:Tracynda.Davis@fda.hhs.gov","Tracynda Davis")</f>
        <v>Tracynda Davis</v>
      </c>
    </row>
    <row r="38" spans="1:15" ht="30" x14ac:dyDescent="0.25">
      <c r="A38" s="28" t="s">
        <v>1785</v>
      </c>
      <c r="B38" s="7">
        <v>42678</v>
      </c>
      <c r="C38" s="8">
        <v>1</v>
      </c>
      <c r="D38" s="7">
        <v>43074</v>
      </c>
      <c r="E38" s="8"/>
      <c r="F38" s="8"/>
      <c r="G38" s="8"/>
      <c r="H38" s="8"/>
      <c r="I38" s="8"/>
      <c r="J38" s="8"/>
      <c r="K38" s="8"/>
      <c r="L38" s="8"/>
      <c r="M38" s="8"/>
      <c r="N38" s="9" t="str">
        <f>HYPERLINK("mailto:kwalters@ruskcounty.wi.us","Kristen Walters")</f>
        <v>Kristen Walters</v>
      </c>
      <c r="O38" s="10" t="str">
        <f>HYPERLINK("mailto:Tracynda.Davis@fda.hhs.gov","Tracynda Davis")</f>
        <v>Tracynda Davis</v>
      </c>
    </row>
    <row r="39" spans="1:15" ht="30" x14ac:dyDescent="0.25">
      <c r="A39" s="29" t="s">
        <v>1786</v>
      </c>
      <c r="B39" s="12">
        <v>42773</v>
      </c>
      <c r="C39" s="13">
        <v>1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4" t="str">
        <f>HYPERLINK("mailto:bbecker@co.sauk.wi.us","Brian Becker")</f>
        <v>Brian Becker</v>
      </c>
      <c r="O39" s="15" t="str">
        <f>HYPERLINK("mailto:Tracynda.Davis@fda.hhs.gov","Tracynda Davis")</f>
        <v>Tracynda Davis</v>
      </c>
    </row>
    <row r="40" spans="1:15" ht="30" x14ac:dyDescent="0.25">
      <c r="A40" s="6" t="str">
        <f>HYPERLINK("www.sheboygancounty.com","Sheboygan County Division of Public Health")</f>
        <v>Sheboygan County Division of Public Health</v>
      </c>
      <c r="B40" s="7">
        <v>43384</v>
      </c>
      <c r="C40" s="8">
        <v>1</v>
      </c>
      <c r="D40" s="8"/>
      <c r="E40" s="8"/>
      <c r="F40" s="8"/>
      <c r="G40" s="8"/>
      <c r="H40" s="8"/>
      <c r="I40" s="8"/>
      <c r="J40" s="8"/>
      <c r="K40" s="8"/>
      <c r="L40" s="8"/>
      <c r="M40" s="8"/>
      <c r="N40" s="9" t="str">
        <f>HYPERLINK("mailto:Timothy.swart@sheboygancounty.com","Tim Swart")</f>
        <v>Tim Swart</v>
      </c>
      <c r="O40" s="10" t="str">
        <f>HYPERLINK("mailto:Tracynda.Davis@fda.hhs.gov","Tracynda Davis")</f>
        <v>Tracynda Davis</v>
      </c>
    </row>
    <row r="41" spans="1:15" ht="30" x14ac:dyDescent="0.25">
      <c r="A41" s="29" t="s">
        <v>1787</v>
      </c>
      <c r="B41" s="12">
        <v>42703</v>
      </c>
      <c r="C41" s="13">
        <v>1</v>
      </c>
      <c r="D41" s="12">
        <v>43056</v>
      </c>
      <c r="E41" s="13"/>
      <c r="F41" s="13"/>
      <c r="G41" s="13"/>
      <c r="H41" s="13"/>
      <c r="I41" s="13"/>
      <c r="J41" s="13"/>
      <c r="K41" s="13"/>
      <c r="L41" s="13"/>
      <c r="M41" s="13"/>
      <c r="N41" s="14" t="str">
        <f>HYPERLINK("mailto:laurie.diaby@sccwi.gov","Laurie Diaby-Gassama")</f>
        <v>Laurie Diaby-Gassama</v>
      </c>
      <c r="O41" s="15" t="str">
        <f>HYPERLINK("mailto:Tracynda.Davis@fda.hhs.gov","Tracynda Davis")</f>
        <v>Tracynda Davis</v>
      </c>
    </row>
    <row r="42" spans="1:15" ht="30" x14ac:dyDescent="0.25">
      <c r="A42" s="28" t="s">
        <v>1788</v>
      </c>
      <c r="B42" s="7">
        <v>42989</v>
      </c>
      <c r="C42" s="8">
        <v>1</v>
      </c>
      <c r="D42" s="7">
        <v>43307</v>
      </c>
      <c r="E42" s="8"/>
      <c r="F42" s="8"/>
      <c r="G42" s="8"/>
      <c r="H42" s="8"/>
      <c r="I42" s="8"/>
      <c r="J42" s="8"/>
      <c r="K42" s="8"/>
      <c r="L42" s="8"/>
      <c r="M42" s="8"/>
      <c r="N42" s="9" t="str">
        <f>HYPERLINK("mailto:samuelf@tremplocounty.com","Samuel Flathead")</f>
        <v>Samuel Flathead</v>
      </c>
      <c r="O42" s="10" t="str">
        <f>HYPERLINK("mailto:Tracynda.Davis@fda.hhs.gov","Tracynda Davis")</f>
        <v>Tracynda Davis</v>
      </c>
    </row>
    <row r="43" spans="1:15" ht="30" x14ac:dyDescent="0.25">
      <c r="A43" s="11" t="str">
        <f>HYPERLINK("www.vilaspublichealth.com","Vilas County Public Health Department")</f>
        <v>Vilas County Public Health Department</v>
      </c>
      <c r="B43" s="12">
        <v>43396</v>
      </c>
      <c r="C43" s="13">
        <v>1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4" t="str">
        <f>HYPERLINK("mailto:giegan@vilascountywi.gov","Gina Egan")</f>
        <v>Gina Egan</v>
      </c>
      <c r="O43" s="15" t="str">
        <f>HYPERLINK("mailto:Tracynda.Davis@fda.hhs.gov","Tracynda Davis")</f>
        <v>Tracynda Davis</v>
      </c>
    </row>
    <row r="44" spans="1:15" ht="45" x14ac:dyDescent="0.25">
      <c r="A44" s="28" t="s">
        <v>1789</v>
      </c>
      <c r="B44" s="7">
        <v>42569</v>
      </c>
      <c r="C44" s="8">
        <v>1</v>
      </c>
      <c r="D44" s="7">
        <v>42710</v>
      </c>
      <c r="E44" s="8"/>
      <c r="F44" s="8"/>
      <c r="G44" s="8"/>
      <c r="H44" s="8"/>
      <c r="I44" s="8"/>
      <c r="J44" s="8"/>
      <c r="K44" s="8" t="s">
        <v>1790</v>
      </c>
      <c r="L44" s="8"/>
      <c r="M44" s="8"/>
      <c r="N44" s="8" t="s">
        <v>1791</v>
      </c>
      <c r="O44" s="10" t="str">
        <f>HYPERLINK("mailto:Tracynda.Davis@fda.hhs.gov","Tracynda Davis")</f>
        <v>Tracynda Davis</v>
      </c>
    </row>
    <row r="45" spans="1:15" ht="30" x14ac:dyDescent="0.25">
      <c r="A45" s="30" t="s">
        <v>1792</v>
      </c>
      <c r="B45" s="23">
        <v>40343</v>
      </c>
      <c r="C45" s="24">
        <v>1</v>
      </c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 t="s">
        <v>1793</v>
      </c>
      <c r="O45" s="26" t="str">
        <f>HYPERLINK("mailto:Tracynda.Davis@fda.hhs.gov","Tracynda Davis")</f>
        <v>Tracynda Davis</v>
      </c>
    </row>
  </sheetData>
  <pageMargins left="0.15" right="0.15" top="0.25" bottom="0.25" header="0.05" footer="0.05"/>
  <pageSetup orientation="landscape" r:id="rId1"/>
  <tableParts count="1">
    <tablePart r:id="rId2"/>
  </tablePart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32F30-A116-4E6E-98FA-557FAF94FAD0}">
  <sheetPr>
    <pageSetUpPr fitToPage="1"/>
  </sheetPr>
  <dimension ref="A1:O10"/>
  <sheetViews>
    <sheetView workbookViewId="0"/>
  </sheetViews>
  <sheetFormatPr defaultRowHeight="15" x14ac:dyDescent="0.25"/>
  <cols>
    <col min="1" max="1" width="33.7109375" customWidth="1"/>
    <col min="2" max="2" width="14.85546875" customWidth="1"/>
    <col min="3" max="3" width="18.42578125" customWidth="1"/>
    <col min="4" max="4" width="22" customWidth="1"/>
    <col min="5" max="13" width="17.28515625" customWidth="1"/>
    <col min="14" max="14" width="14.85546875" customWidth="1"/>
    <col min="15" max="15" width="13.140625" customWidth="1"/>
  </cols>
  <sheetData>
    <row r="1" spans="1:15" x14ac:dyDescent="0.25">
      <c r="A1" t="s">
        <v>1810</v>
      </c>
      <c r="B1" s="2" t="str">
        <f>HYPERLINK("#Introduction!A1","Back to Introduction Page")</f>
        <v>Back to Introduction Page</v>
      </c>
    </row>
    <row r="2" spans="1:15" x14ac:dyDescent="0.25">
      <c r="A2" s="21" t="s">
        <v>1811</v>
      </c>
    </row>
    <row r="3" spans="1:15" ht="45" x14ac:dyDescent="0.25">
      <c r="A3" s="4" t="s">
        <v>15</v>
      </c>
      <c r="B3" s="3" t="s">
        <v>16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21</v>
      </c>
      <c r="H3" s="3" t="s">
        <v>22</v>
      </c>
      <c r="I3" s="3" t="s">
        <v>23</v>
      </c>
      <c r="J3" s="3" t="s">
        <v>24</v>
      </c>
      <c r="K3" s="3" t="s">
        <v>25</v>
      </c>
      <c r="L3" s="3" t="s">
        <v>26</v>
      </c>
      <c r="M3" s="3" t="s">
        <v>27</v>
      </c>
      <c r="N3" s="3" t="s">
        <v>28</v>
      </c>
      <c r="O3" s="5" t="s">
        <v>29</v>
      </c>
    </row>
    <row r="4" spans="1:15" ht="30" x14ac:dyDescent="0.25">
      <c r="A4" s="28" t="s">
        <v>1796</v>
      </c>
      <c r="B4" s="7">
        <v>43091</v>
      </c>
      <c r="C4" s="8">
        <v>1</v>
      </c>
      <c r="D4" s="7">
        <v>43437</v>
      </c>
      <c r="E4" s="8"/>
      <c r="F4" s="8"/>
      <c r="G4" s="8"/>
      <c r="H4" s="8"/>
      <c r="I4" s="8"/>
      <c r="J4" s="8"/>
      <c r="K4" s="8"/>
      <c r="L4" s="8"/>
      <c r="M4" s="8"/>
      <c r="N4" s="9" t="str">
        <f>HYPERLINK("mailto:rheald@cnchd.org","Ruth Heald, REHS")</f>
        <v>Ruth Heald, REHS</v>
      </c>
      <c r="O4" s="10" t="str">
        <f>HYPERLINK("mailto:Mario.Seminara@fda.hhs.gov","Mario Seminara")</f>
        <v>Mario Seminara</v>
      </c>
    </row>
    <row r="5" spans="1:15" ht="45" x14ac:dyDescent="0.25">
      <c r="A5" s="11" t="str">
        <f>HYPERLINK("http://www.laramiecounty.com/_departments/_health/index.asp","Cheyenne/Laramie County Environmental Health Department")</f>
        <v>Cheyenne/Laramie County Environmental Health Department</v>
      </c>
      <c r="B5" s="12">
        <v>38986</v>
      </c>
      <c r="C5" s="13">
        <v>1</v>
      </c>
      <c r="D5" s="12">
        <v>39335</v>
      </c>
      <c r="E5" s="13"/>
      <c r="F5" s="13"/>
      <c r="G5" s="13"/>
      <c r="H5" s="13"/>
      <c r="I5" s="13"/>
      <c r="J5" s="13"/>
      <c r="K5" s="13" t="s">
        <v>1797</v>
      </c>
      <c r="L5" s="13"/>
      <c r="M5" s="13"/>
      <c r="N5" s="14" t="str">
        <f>HYPERLINK("mailto:roykehs@laramiecounty.com","Roy Kroeger")</f>
        <v>Roy Kroeger</v>
      </c>
      <c r="O5" s="15" t="str">
        <f>HYPERLINK("mailto:Mario.Seminara@fda.hhs.gov","Mario Seminara")</f>
        <v>Mario Seminara</v>
      </c>
    </row>
    <row r="6" spans="1:15" ht="45" x14ac:dyDescent="0.25">
      <c r="A6" s="11" t="str">
        <f>HYPERLINK("http://www.laramiecounty.com/_departments/_health/index.asp","Cheyenne/Laramie County Environmental Health Department")</f>
        <v>Cheyenne/Laramie County Environmental Health Department</v>
      </c>
      <c r="B6" s="12">
        <v>38986</v>
      </c>
      <c r="C6" s="13">
        <v>2</v>
      </c>
      <c r="D6" s="12">
        <v>42248</v>
      </c>
      <c r="E6" s="13" t="s">
        <v>1798</v>
      </c>
      <c r="F6" s="13" t="s">
        <v>1799</v>
      </c>
      <c r="G6" s="13" t="s">
        <v>1800</v>
      </c>
      <c r="H6" s="13"/>
      <c r="I6" s="13" t="s">
        <v>1801</v>
      </c>
      <c r="J6" s="13"/>
      <c r="K6" s="13" t="s">
        <v>1802</v>
      </c>
      <c r="L6" s="13"/>
      <c r="M6" s="13"/>
      <c r="N6" s="14" t="str">
        <f>HYPERLINK("mailto:roykehs@laramiecounty.com","Roy Kroeger")</f>
        <v>Roy Kroeger</v>
      </c>
      <c r="O6" s="15" t="str">
        <f>HYPERLINK("mailto:Mario.Seminara@fda.hhs.gov","Mario Seminara")</f>
        <v>Mario Seminara</v>
      </c>
    </row>
    <row r="7" spans="1:15" ht="30" x14ac:dyDescent="0.25">
      <c r="A7" s="28" t="s">
        <v>1803</v>
      </c>
      <c r="B7" s="7">
        <v>39041</v>
      </c>
      <c r="C7" s="8">
        <v>1</v>
      </c>
      <c r="D7" s="7">
        <v>40842</v>
      </c>
      <c r="E7" s="8"/>
      <c r="F7" s="8"/>
      <c r="G7" s="8"/>
      <c r="H7" s="8"/>
      <c r="I7" s="8"/>
      <c r="J7" s="8"/>
      <c r="K7" s="8"/>
      <c r="L7" s="8"/>
      <c r="M7" s="8"/>
      <c r="N7" s="9" t="str">
        <f>HYPERLINK("mailto:jomalley@cityoflaramie.org","Jennifer O'Malley")</f>
        <v>Jennifer O'Malley</v>
      </c>
      <c r="O7" s="10" t="str">
        <f>HYPERLINK("mailto:Mario.Seminara@fda.hhs.gov","Mario Seminara")</f>
        <v>Mario Seminara</v>
      </c>
    </row>
    <row r="8" spans="1:15" ht="30" x14ac:dyDescent="0.25">
      <c r="A8" s="11" t="str">
        <f>HYPERLINK("http://www.tetonwyo.org/","Teton County Public Health Department")</f>
        <v>Teton County Public Health Department</v>
      </c>
      <c r="B8" s="12">
        <v>40743</v>
      </c>
      <c r="C8" s="13">
        <v>1</v>
      </c>
      <c r="D8" s="12">
        <v>40767</v>
      </c>
      <c r="E8" s="13" t="s">
        <v>1804</v>
      </c>
      <c r="F8" s="13" t="s">
        <v>1805</v>
      </c>
      <c r="G8" s="13"/>
      <c r="H8" s="13"/>
      <c r="I8" s="13"/>
      <c r="J8" s="13"/>
      <c r="K8" s="13"/>
      <c r="L8" s="13"/>
      <c r="M8" s="13"/>
      <c r="N8" s="14" t="str">
        <f>HYPERLINK("mailto:eric.baird@wyo.gov","Eric Baird")</f>
        <v>Eric Baird</v>
      </c>
      <c r="O8" s="15" t="str">
        <f>HYPERLINK("mailto:Mario.Seminara@fda.hhs.gov","Mario Seminara")</f>
        <v>Mario Seminara</v>
      </c>
    </row>
    <row r="9" spans="1:15" ht="30" x14ac:dyDescent="0.25">
      <c r="A9" s="6" t="str">
        <f>HYPERLINK("http://wyagric.state.wy.us/","Wyoming Department of Agriculture")</f>
        <v>Wyoming Department of Agriculture</v>
      </c>
      <c r="B9" s="7">
        <v>37140</v>
      </c>
      <c r="C9" s="8">
        <v>1</v>
      </c>
      <c r="D9" s="7">
        <v>37477</v>
      </c>
      <c r="E9" s="8" t="s">
        <v>150</v>
      </c>
      <c r="F9" s="8" t="s">
        <v>1806</v>
      </c>
      <c r="G9" s="8" t="s">
        <v>150</v>
      </c>
      <c r="H9" s="8"/>
      <c r="I9" s="8" t="s">
        <v>150</v>
      </c>
      <c r="J9" s="8"/>
      <c r="K9" s="8"/>
      <c r="L9" s="8"/>
      <c r="M9" s="8"/>
      <c r="N9" s="9" t="str">
        <f>HYPERLINK("mailto:dawn.borwegen@wyo.gov","Dawn Borwegen")</f>
        <v>Dawn Borwegen</v>
      </c>
      <c r="O9" s="10" t="str">
        <f>HYPERLINK("mailto:Mario.Seminara@fda.hhs.gov","Mario Seminara")</f>
        <v>Mario Seminara</v>
      </c>
    </row>
    <row r="10" spans="1:15" ht="30" x14ac:dyDescent="0.25">
      <c r="A10" s="16" t="str">
        <f>HYPERLINK("http://wyagric.state.wy.us/","Wyoming Department of Agriculture")</f>
        <v>Wyoming Department of Agriculture</v>
      </c>
      <c r="B10" s="17">
        <v>37140</v>
      </c>
      <c r="C10" s="18">
        <v>2</v>
      </c>
      <c r="D10" s="17">
        <v>42115</v>
      </c>
      <c r="E10" s="18"/>
      <c r="F10" s="18" t="s">
        <v>1807</v>
      </c>
      <c r="G10" s="18" t="s">
        <v>1808</v>
      </c>
      <c r="H10" s="18"/>
      <c r="I10" s="18" t="s">
        <v>1809</v>
      </c>
      <c r="J10" s="18"/>
      <c r="K10" s="18" t="s">
        <v>1809</v>
      </c>
      <c r="L10" s="18"/>
      <c r="M10" s="18" t="s">
        <v>1808</v>
      </c>
      <c r="N10" s="19" t="str">
        <f>HYPERLINK("mailto:dawn.borwegen@wyo.gov","Dawn Borwegen")</f>
        <v>Dawn Borwegen</v>
      </c>
      <c r="O10" s="20" t="str">
        <f>HYPERLINK("mailto:Mario.Seminara@fda.hhs.gov","Mario Seminara")</f>
        <v>Mario Seminara</v>
      </c>
    </row>
  </sheetData>
  <pageMargins left="0.15" right="0.15" top="0.25" bottom="0.25" header="0.05" footer="0.05"/>
  <pageSetup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4E748-40A2-4542-912F-4C9F0DE1F209}">
  <sheetPr>
    <pageSetUpPr fitToPage="1"/>
  </sheetPr>
  <dimension ref="A1:O6"/>
  <sheetViews>
    <sheetView workbookViewId="0"/>
  </sheetViews>
  <sheetFormatPr defaultRowHeight="15" x14ac:dyDescent="0.25"/>
  <cols>
    <col min="1" max="1" width="33.7109375" customWidth="1"/>
    <col min="2" max="2" width="14.85546875" customWidth="1"/>
    <col min="3" max="3" width="18.42578125" customWidth="1"/>
    <col min="4" max="4" width="22" customWidth="1"/>
    <col min="5" max="13" width="17.28515625" customWidth="1"/>
    <col min="14" max="14" width="14.85546875" customWidth="1"/>
    <col min="15" max="15" width="13.140625" customWidth="1"/>
  </cols>
  <sheetData>
    <row r="1" spans="1:15" x14ac:dyDescent="0.25">
      <c r="A1" t="s">
        <v>97</v>
      </c>
      <c r="B1" s="2" t="str">
        <f>HYPERLINK("#Introduction!A1","Back to Introduction Page")</f>
        <v>Back to Introduction Page</v>
      </c>
    </row>
    <row r="2" spans="1:15" x14ac:dyDescent="0.25">
      <c r="A2" s="21" t="s">
        <v>98</v>
      </c>
    </row>
    <row r="3" spans="1:15" ht="45" x14ac:dyDescent="0.25">
      <c r="A3" s="4" t="s">
        <v>15</v>
      </c>
      <c r="B3" s="3" t="s">
        <v>16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21</v>
      </c>
      <c r="H3" s="3" t="s">
        <v>22</v>
      </c>
      <c r="I3" s="3" t="s">
        <v>23</v>
      </c>
      <c r="J3" s="3" t="s">
        <v>24</v>
      </c>
      <c r="K3" s="3" t="s">
        <v>25</v>
      </c>
      <c r="L3" s="3" t="s">
        <v>26</v>
      </c>
      <c r="M3" s="3" t="s">
        <v>27</v>
      </c>
      <c r="N3" s="3" t="s">
        <v>28</v>
      </c>
      <c r="O3" s="5" t="s">
        <v>29</v>
      </c>
    </row>
    <row r="4" spans="1:15" ht="30" x14ac:dyDescent="0.25">
      <c r="A4" s="6" t="str">
        <f>HYPERLINK("http://www.healthy.arkansas.gov/Pages/default.aspx","Arkansas Department of Health")</f>
        <v>Arkansas Department of Health</v>
      </c>
      <c r="B4" s="7">
        <v>37777</v>
      </c>
      <c r="C4" s="8">
        <v>1</v>
      </c>
      <c r="D4" s="7">
        <v>39146</v>
      </c>
      <c r="E4" s="8" t="s">
        <v>90</v>
      </c>
      <c r="F4" s="8"/>
      <c r="G4" s="8"/>
      <c r="H4" s="8"/>
      <c r="I4" s="8"/>
      <c r="J4" s="8"/>
      <c r="K4" s="8"/>
      <c r="L4" s="8"/>
      <c r="M4" s="8"/>
      <c r="N4" s="9" t="str">
        <f>HYPERLINK("mailto:sherri.woodus@arkansas.gov","Sherri Woodus")</f>
        <v>Sherri Woodus</v>
      </c>
      <c r="O4" s="10" t="str">
        <f>HYPERLINK("mailto:Celeste.Parker@fda.hhs.gov","Celeste Parker")</f>
        <v>Celeste Parker</v>
      </c>
    </row>
    <row r="5" spans="1:15" ht="30" x14ac:dyDescent="0.25">
      <c r="A5" s="6" t="str">
        <f>HYPERLINK("http://www.healthy.arkansas.gov/Pages/default.aspx","Arkansas Department of Health")</f>
        <v>Arkansas Department of Health</v>
      </c>
      <c r="B5" s="7">
        <v>37777</v>
      </c>
      <c r="C5" s="8">
        <v>2</v>
      </c>
      <c r="D5" s="7">
        <v>40352</v>
      </c>
      <c r="E5" s="8" t="s">
        <v>91</v>
      </c>
      <c r="F5" s="8"/>
      <c r="G5" s="8" t="s">
        <v>92</v>
      </c>
      <c r="H5" s="8" t="s">
        <v>93</v>
      </c>
      <c r="I5" s="8" t="s">
        <v>94</v>
      </c>
      <c r="J5" s="8"/>
      <c r="K5" s="8" t="s">
        <v>95</v>
      </c>
      <c r="L5" s="8"/>
      <c r="M5" s="8"/>
      <c r="N5" s="9" t="str">
        <f>HYPERLINK("mailto:sherri.woodus@arkansas.gov","Sherri Woodus")</f>
        <v>Sherri Woodus</v>
      </c>
      <c r="O5" s="10" t="str">
        <f>HYPERLINK("mailto:Celeste.Parker@fda.hhs.gov","Celeste Parker")</f>
        <v>Celeste Parker</v>
      </c>
    </row>
    <row r="6" spans="1:15" ht="30" x14ac:dyDescent="0.25">
      <c r="A6" s="16" t="str">
        <f>HYPERLINK("http://www.healthy.arkansas.gov/Pages/default.aspx","Arkansas Department of Health")</f>
        <v>Arkansas Department of Health</v>
      </c>
      <c r="B6" s="17">
        <v>37777</v>
      </c>
      <c r="C6" s="18">
        <v>3</v>
      </c>
      <c r="D6" s="17">
        <v>42018</v>
      </c>
      <c r="E6" s="18"/>
      <c r="F6" s="18"/>
      <c r="G6" s="18" t="s">
        <v>96</v>
      </c>
      <c r="H6" s="18"/>
      <c r="I6" s="18"/>
      <c r="J6" s="18"/>
      <c r="K6" s="18" t="s">
        <v>96</v>
      </c>
      <c r="L6" s="18"/>
      <c r="M6" s="18"/>
      <c r="N6" s="19" t="str">
        <f>HYPERLINK("mailto:sherri.woodus@arkansas.gov","Sherri Woodus")</f>
        <v>Sherri Woodus</v>
      </c>
      <c r="O6" s="20" t="str">
        <f>HYPERLINK("mailto:Celeste.Parker@fda.hhs.gov","Celeste Parker")</f>
        <v>Celeste Parker</v>
      </c>
    </row>
  </sheetData>
  <pageMargins left="0.15" right="0.15" top="0.25" bottom="0.25" header="0.05" footer="0.05"/>
  <pageSetup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BEDEB-4260-42C0-AF4B-812C20E42597}">
  <sheetPr>
    <pageSetUpPr fitToPage="1"/>
  </sheetPr>
  <dimension ref="A1:O61"/>
  <sheetViews>
    <sheetView workbookViewId="0"/>
  </sheetViews>
  <sheetFormatPr defaultRowHeight="15" x14ac:dyDescent="0.25"/>
  <cols>
    <col min="1" max="1" width="33.7109375" customWidth="1"/>
    <col min="2" max="2" width="14.85546875" customWidth="1"/>
    <col min="3" max="3" width="18.42578125" customWidth="1"/>
    <col min="4" max="4" width="22" customWidth="1"/>
    <col min="5" max="13" width="17.28515625" customWidth="1"/>
    <col min="14" max="14" width="14.85546875" customWidth="1"/>
    <col min="15" max="15" width="13.140625" customWidth="1"/>
  </cols>
  <sheetData>
    <row r="1" spans="1:15" x14ac:dyDescent="0.25">
      <c r="A1" t="s">
        <v>163</v>
      </c>
      <c r="B1" s="2" t="str">
        <f>HYPERLINK("#Introduction!A1","Back to Introduction Page")</f>
        <v>Back to Introduction Page</v>
      </c>
    </row>
    <row r="2" spans="1:15" x14ac:dyDescent="0.25">
      <c r="A2" s="21" t="s">
        <v>164</v>
      </c>
    </row>
    <row r="3" spans="1:15" ht="45" x14ac:dyDescent="0.25">
      <c r="A3" s="4" t="s">
        <v>15</v>
      </c>
      <c r="B3" s="3" t="s">
        <v>16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21</v>
      </c>
      <c r="H3" s="3" t="s">
        <v>22</v>
      </c>
      <c r="I3" s="3" t="s">
        <v>23</v>
      </c>
      <c r="J3" s="3" t="s">
        <v>24</v>
      </c>
      <c r="K3" s="3" t="s">
        <v>25</v>
      </c>
      <c r="L3" s="3" t="s">
        <v>26</v>
      </c>
      <c r="M3" s="3" t="s">
        <v>27</v>
      </c>
      <c r="N3" s="3" t="s">
        <v>28</v>
      </c>
      <c r="O3" s="5" t="s">
        <v>29</v>
      </c>
    </row>
    <row r="4" spans="1:15" ht="45" x14ac:dyDescent="0.25">
      <c r="A4" s="6" t="str">
        <f>HYPERLINK("http://www.acphd.org/","Alameda County Department of Environmental")</f>
        <v>Alameda County Department of Environmental</v>
      </c>
      <c r="B4" s="7">
        <v>37160</v>
      </c>
      <c r="C4" s="8">
        <v>1</v>
      </c>
      <c r="D4" s="7">
        <v>37673</v>
      </c>
      <c r="E4" s="8"/>
      <c r="F4" s="8"/>
      <c r="G4" s="8"/>
      <c r="H4" s="8"/>
      <c r="I4" s="8"/>
      <c r="J4" s="8"/>
      <c r="K4" s="8"/>
      <c r="L4" s="8"/>
      <c r="M4" s="8"/>
      <c r="N4" s="9" t="str">
        <f>HYPERLINK("mailto:ronald.browderi@acgov.org","Ron Browder")</f>
        <v>Ron Browder</v>
      </c>
      <c r="O4" s="10" t="str">
        <f>HYPERLINK("mailto:Lisa.Whitlock@fda.hhs.gov","Lisa Whitlock")</f>
        <v>Lisa Whitlock</v>
      </c>
    </row>
    <row r="5" spans="1:15" ht="30" x14ac:dyDescent="0.25">
      <c r="A5" s="11" t="str">
        <f>HYPERLINK("http://buttecounty.net/Default.aspx?tabid=203","Butte County Environmental Health")</f>
        <v>Butte County Environmental Health</v>
      </c>
      <c r="B5" s="12">
        <v>38824</v>
      </c>
      <c r="C5" s="13">
        <v>1</v>
      </c>
      <c r="D5" s="12">
        <v>39176</v>
      </c>
      <c r="E5" s="13"/>
      <c r="F5" s="13"/>
      <c r="G5" s="13"/>
      <c r="H5" s="13"/>
      <c r="I5" s="13"/>
      <c r="J5" s="13"/>
      <c r="K5" s="13"/>
      <c r="L5" s="13"/>
      <c r="M5" s="13" t="s">
        <v>99</v>
      </c>
      <c r="N5" s="13" t="s">
        <v>100</v>
      </c>
      <c r="O5" s="15" t="str">
        <f>HYPERLINK("mailto:Lisa.Whitlock@fda.hhs.gov","Lisa Whitlock")</f>
        <v>Lisa Whitlock</v>
      </c>
    </row>
    <row r="6" spans="1:15" ht="30" x14ac:dyDescent="0.25">
      <c r="A6" s="6" t="str">
        <f>HYPERLINK("http://www.dhs.ca.gov/","California Department of Public Health")</f>
        <v>California Department of Public Health</v>
      </c>
      <c r="B6" s="7">
        <v>37160</v>
      </c>
      <c r="C6" s="8">
        <v>1</v>
      </c>
      <c r="D6" s="7">
        <v>39176</v>
      </c>
      <c r="E6" s="8"/>
      <c r="F6" s="8"/>
      <c r="G6" s="8"/>
      <c r="H6" s="8"/>
      <c r="I6" s="8"/>
      <c r="J6" s="8"/>
      <c r="K6" s="8" t="s">
        <v>101</v>
      </c>
      <c r="L6" s="8"/>
      <c r="M6" s="8"/>
      <c r="N6" s="9" t="str">
        <f>HYPERLINK("mailto:Brenda.Faw@cdph.ca.gov","Brenda V. Faw")</f>
        <v>Brenda V. Faw</v>
      </c>
      <c r="O6" s="10" t="str">
        <f>HYPERLINK("mailto:Richard.Ramirez@fda.hhs.gov","Richard Ramirez")</f>
        <v>Richard Ramirez</v>
      </c>
    </row>
    <row r="7" spans="1:15" ht="30" x14ac:dyDescent="0.25">
      <c r="A7" s="29" t="s">
        <v>102</v>
      </c>
      <c r="B7" s="12">
        <v>39066</v>
      </c>
      <c r="C7" s="13">
        <v>1</v>
      </c>
      <c r="D7" s="12">
        <v>39786</v>
      </c>
      <c r="E7" s="13" t="s">
        <v>103</v>
      </c>
      <c r="F7" s="13" t="s">
        <v>103</v>
      </c>
      <c r="G7" s="13" t="s">
        <v>103</v>
      </c>
      <c r="H7" s="13" t="s">
        <v>103</v>
      </c>
      <c r="I7" s="13"/>
      <c r="J7" s="13" t="s">
        <v>103</v>
      </c>
      <c r="K7" s="13" t="s">
        <v>103</v>
      </c>
      <c r="L7" s="13" t="s">
        <v>103</v>
      </c>
      <c r="M7" s="13" t="s">
        <v>103</v>
      </c>
      <c r="N7" s="14" t="str">
        <f>HYPERLINK("mailto:jbaldacci@fullerton.edu","Justine Baldacci")</f>
        <v>Justine Baldacci</v>
      </c>
      <c r="O7" s="15" t="str">
        <f>HYPERLINK("mailto:Richard.Ramirez@fda.hhs.gov","Richard Ramirez")</f>
        <v>Richard Ramirez</v>
      </c>
    </row>
    <row r="8" spans="1:15" ht="30" x14ac:dyDescent="0.25">
      <c r="A8" s="29" t="s">
        <v>102</v>
      </c>
      <c r="B8" s="12">
        <v>39066</v>
      </c>
      <c r="C8" s="13">
        <v>2</v>
      </c>
      <c r="D8" s="12">
        <v>42250</v>
      </c>
      <c r="E8" s="13"/>
      <c r="F8" s="13" t="s">
        <v>104</v>
      </c>
      <c r="G8" s="13" t="s">
        <v>104</v>
      </c>
      <c r="H8" s="13" t="s">
        <v>104</v>
      </c>
      <c r="I8" s="13"/>
      <c r="J8" s="13" t="s">
        <v>104</v>
      </c>
      <c r="K8" s="13" t="s">
        <v>104</v>
      </c>
      <c r="L8" s="13"/>
      <c r="M8" s="13"/>
      <c r="N8" s="13" t="s">
        <v>105</v>
      </c>
      <c r="O8" s="15" t="str">
        <f>HYPERLINK("mailto:Richard.Ramirez@fda.hhs.gov","Richard Ramirez")</f>
        <v>Richard Ramirez</v>
      </c>
    </row>
    <row r="9" spans="1:15" ht="30" x14ac:dyDescent="0.25">
      <c r="A9" s="6" t="str">
        <f>HYPERLINK("http://www.csusm.edu","California State University, San Marcos")</f>
        <v>California State University, San Marcos</v>
      </c>
      <c r="B9" s="7">
        <v>40260</v>
      </c>
      <c r="C9" s="8">
        <v>1</v>
      </c>
      <c r="D9" s="7">
        <v>40351</v>
      </c>
      <c r="E9" s="8" t="s">
        <v>106</v>
      </c>
      <c r="F9" s="8"/>
      <c r="G9" s="8"/>
      <c r="H9" s="8" t="s">
        <v>106</v>
      </c>
      <c r="I9" s="8"/>
      <c r="J9" s="8"/>
      <c r="K9" s="8"/>
      <c r="L9" s="8" t="s">
        <v>106</v>
      </c>
      <c r="M9" s="8"/>
      <c r="N9" s="8" t="s">
        <v>105</v>
      </c>
      <c r="O9" s="10" t="str">
        <f>HYPERLINK("mailto:Richard.Ramirez@fda.hhs.gov","Richard Ramirez")</f>
        <v>Richard Ramirez</v>
      </c>
    </row>
    <row r="10" spans="1:15" ht="30" x14ac:dyDescent="0.25">
      <c r="A10" s="29" t="s">
        <v>107</v>
      </c>
      <c r="B10" s="12">
        <v>38481</v>
      </c>
      <c r="C10" s="13">
        <v>1</v>
      </c>
      <c r="D10" s="12">
        <v>38808</v>
      </c>
      <c r="E10" s="13"/>
      <c r="F10" s="13"/>
      <c r="G10" s="13"/>
      <c r="H10" s="13"/>
      <c r="I10" s="13"/>
      <c r="J10" s="13"/>
      <c r="K10" s="13"/>
      <c r="L10" s="13"/>
      <c r="M10" s="13" t="s">
        <v>108</v>
      </c>
      <c r="N10" s="14" t="str">
        <f>HYPERLINK("mailto:rotorres@cityofberkeley.info","Ron Torres")</f>
        <v>Ron Torres</v>
      </c>
      <c r="O10" s="15" t="str">
        <f>HYPERLINK("mailto:Lisa.Whitlock@fda.hhs.gov","Lisa Whitlock")</f>
        <v>Lisa Whitlock</v>
      </c>
    </row>
    <row r="11" spans="1:15" ht="30" x14ac:dyDescent="0.25">
      <c r="A11" s="29" t="s">
        <v>107</v>
      </c>
      <c r="B11" s="12">
        <v>38481</v>
      </c>
      <c r="C11" s="13">
        <v>2</v>
      </c>
      <c r="D11" s="12">
        <v>42185</v>
      </c>
      <c r="E11" s="13"/>
      <c r="F11" s="13" t="s">
        <v>109</v>
      </c>
      <c r="G11" s="13" t="s">
        <v>109</v>
      </c>
      <c r="H11" s="13" t="s">
        <v>110</v>
      </c>
      <c r="I11" s="13" t="s">
        <v>109</v>
      </c>
      <c r="J11" s="13"/>
      <c r="K11" s="13" t="s">
        <v>111</v>
      </c>
      <c r="L11" s="13"/>
      <c r="M11" s="13"/>
      <c r="N11" s="14" t="str">
        <f>HYPERLINK("mailto:rotorres@cityofberkeley.info","Ron Torres")</f>
        <v>Ron Torres</v>
      </c>
      <c r="O11" s="15" t="str">
        <f>HYPERLINK("mailto:Lisa.Whitlock@fda.hhs.gov","Lisa Whitlock")</f>
        <v>Lisa Whitlock</v>
      </c>
    </row>
    <row r="12" spans="1:15" ht="30" x14ac:dyDescent="0.25">
      <c r="A12" s="6" t="str">
        <f>HYPERLINK("http://www.longbeach.gov/services/default.asp?serviceid=50","City of Long Beach")</f>
        <v>City of Long Beach</v>
      </c>
      <c r="B12" s="7">
        <v>39456</v>
      </c>
      <c r="C12" s="8">
        <v>1</v>
      </c>
      <c r="D12" s="7">
        <v>41204</v>
      </c>
      <c r="E12" s="8"/>
      <c r="F12" s="8"/>
      <c r="G12" s="8" t="s">
        <v>112</v>
      </c>
      <c r="H12" s="8"/>
      <c r="I12" s="8" t="s">
        <v>113</v>
      </c>
      <c r="J12" s="8" t="s">
        <v>114</v>
      </c>
      <c r="K12" s="8" t="s">
        <v>115</v>
      </c>
      <c r="L12" s="8"/>
      <c r="M12" s="8"/>
      <c r="N12" s="9" t="str">
        <f>HYPERLINK("mailto:keith.allen@longbeach.gov","Keith Allen")</f>
        <v>Keith Allen</v>
      </c>
      <c r="O12" s="10" t="str">
        <f>HYPERLINK("mailto:Richard.Ramirez@fda.hhs.gov","Richard Ramirez")</f>
        <v>Richard Ramirez</v>
      </c>
    </row>
    <row r="13" spans="1:15" ht="30" x14ac:dyDescent="0.25">
      <c r="A13" s="11" t="str">
        <f>HYPERLINK("http://www.cchealth.org/","Contra Costa Environmental Health Department")</f>
        <v>Contra Costa Environmental Health Department</v>
      </c>
      <c r="B13" s="12">
        <v>37160</v>
      </c>
      <c r="C13" s="13">
        <v>1</v>
      </c>
      <c r="D13" s="12">
        <v>42625</v>
      </c>
      <c r="E13" s="13"/>
      <c r="F13" s="13"/>
      <c r="G13" s="13"/>
      <c r="H13" s="13"/>
      <c r="I13" s="13"/>
      <c r="J13" s="13"/>
      <c r="K13" s="13"/>
      <c r="L13" s="13"/>
      <c r="M13" s="13"/>
      <c r="N13" s="14" t="str">
        <f>HYPERLINK("mailto:Vanessa.Cordier@hsd.cccounty.us","Vanessa Cordier")</f>
        <v>Vanessa Cordier</v>
      </c>
      <c r="O13" s="15" t="str">
        <f>HYPERLINK("mailto:Richard.Ramirez@fda.hhs.gov","Richard Ramirez")</f>
        <v>Richard Ramirez</v>
      </c>
    </row>
    <row r="14" spans="1:15" ht="45" x14ac:dyDescent="0.25">
      <c r="A14" s="6" t="str">
        <f>HYPERLINK("http://www.co.monterey.ca.us/","County of Monterey, Environmental Health Bureau")</f>
        <v>County of Monterey, Environmental Health Bureau</v>
      </c>
      <c r="B14" s="7">
        <v>38750</v>
      </c>
      <c r="C14" s="8">
        <v>1</v>
      </c>
      <c r="D14" s="7">
        <v>39023</v>
      </c>
      <c r="E14" s="8"/>
      <c r="F14" s="8"/>
      <c r="G14" s="8"/>
      <c r="H14" s="8"/>
      <c r="I14" s="8"/>
      <c r="J14" s="8"/>
      <c r="K14" s="8" t="s">
        <v>116</v>
      </c>
      <c r="L14" s="8"/>
      <c r="M14" s="8"/>
      <c r="N14" s="9" t="str">
        <f>HYPERLINK("mailto:ramirezj1@co.monterey.ca.us","John Ramirez")</f>
        <v>John Ramirez</v>
      </c>
      <c r="O14" s="10" t="str">
        <f>HYPERLINK("mailto:Lisa.Whitlock@fda.hhs.gov","Lisa Whitlock")</f>
        <v>Lisa Whitlock</v>
      </c>
    </row>
    <row r="15" spans="1:15" ht="45" x14ac:dyDescent="0.25">
      <c r="A15" s="6" t="str">
        <f>HYPERLINK("http://www.co.monterey.ca.us/","County of Monterey, Environmental Health Bureau")</f>
        <v>County of Monterey, Environmental Health Bureau</v>
      </c>
      <c r="B15" s="7">
        <v>38750</v>
      </c>
      <c r="C15" s="8">
        <v>2</v>
      </c>
      <c r="D15" s="7">
        <v>39876</v>
      </c>
      <c r="E15" s="8"/>
      <c r="F15" s="8"/>
      <c r="G15" s="8"/>
      <c r="H15" s="8"/>
      <c r="I15" s="8"/>
      <c r="J15" s="8"/>
      <c r="K15" s="8" t="s">
        <v>117</v>
      </c>
      <c r="L15" s="8"/>
      <c r="M15" s="8"/>
      <c r="N15" s="9" t="str">
        <f>HYPERLINK("mailto:ramirezj1@co.monterey.ca.us","John Ramirez")</f>
        <v>John Ramirez</v>
      </c>
      <c r="O15" s="10" t="str">
        <f>HYPERLINK("mailto:Lisa.Whitlock@fda.hhs.gov","Lisa Whitlock")</f>
        <v>Lisa Whitlock</v>
      </c>
    </row>
    <row r="16" spans="1:15" ht="45" x14ac:dyDescent="0.25">
      <c r="A16" s="6" t="str">
        <f>HYPERLINK("http://www.co.monterey.ca.us/","County of Monterey, Environmental Health Bureau")</f>
        <v>County of Monterey, Environmental Health Bureau</v>
      </c>
      <c r="B16" s="7">
        <v>38750</v>
      </c>
      <c r="C16" s="8">
        <v>3</v>
      </c>
      <c r="D16" s="7">
        <v>42193</v>
      </c>
      <c r="E16" s="8"/>
      <c r="F16" s="8"/>
      <c r="G16" s="8"/>
      <c r="H16" s="8"/>
      <c r="I16" s="8"/>
      <c r="J16" s="8"/>
      <c r="K16" s="8" t="s">
        <v>118</v>
      </c>
      <c r="L16" s="8"/>
      <c r="M16" s="8" t="s">
        <v>119</v>
      </c>
      <c r="N16" s="9" t="str">
        <f>HYPERLINK("mailto:ramirezj1@co.monterey.ca.us","John Ramirez")</f>
        <v>John Ramirez</v>
      </c>
      <c r="O16" s="10" t="str">
        <f>HYPERLINK("mailto:Lisa.Whitlock@fda.hhs.gov","Lisa Whitlock")</f>
        <v>Lisa Whitlock</v>
      </c>
    </row>
    <row r="17" spans="1:15" ht="30" x14ac:dyDescent="0.25">
      <c r="A17" s="11" t="str">
        <f>HYPERLINK("http://www.sbcounty.gov/dehs","County of San Bernardino")</f>
        <v>County of San Bernardino</v>
      </c>
      <c r="B17" s="12">
        <v>41230</v>
      </c>
      <c r="C17" s="13">
        <v>1</v>
      </c>
      <c r="D17" s="12">
        <v>41577</v>
      </c>
      <c r="E17" s="13"/>
      <c r="F17" s="13"/>
      <c r="G17" s="13"/>
      <c r="H17" s="13"/>
      <c r="I17" s="13"/>
      <c r="J17" s="13"/>
      <c r="K17" s="13" t="s">
        <v>120</v>
      </c>
      <c r="L17" s="13"/>
      <c r="M17" s="13"/>
      <c r="N17" s="14" t="str">
        <f>HYPERLINK("mailto:Paula.Harold@dph.sbcounty.gov","Paula Harold")</f>
        <v>Paula Harold</v>
      </c>
      <c r="O17" s="15" t="str">
        <f>HYPERLINK("mailto:Richard.Ramirez@fda.hhs.gov","Richard Ramirez")</f>
        <v>Richard Ramirez</v>
      </c>
    </row>
    <row r="18" spans="1:15" ht="30" x14ac:dyDescent="0.25">
      <c r="A18" s="6" t="str">
        <f>HYPERLINK("http://www.scceh.com","County of Santa Cruz, Environmental Health")</f>
        <v>County of Santa Cruz, Environmental Health</v>
      </c>
      <c r="B18" s="7">
        <v>41542</v>
      </c>
      <c r="C18" s="8">
        <v>1</v>
      </c>
      <c r="D18" s="7">
        <v>42087</v>
      </c>
      <c r="E18" s="8"/>
      <c r="F18" s="8"/>
      <c r="G18" s="8"/>
      <c r="H18" s="8"/>
      <c r="I18" s="8"/>
      <c r="J18" s="8"/>
      <c r="K18" s="8"/>
      <c r="L18" s="8"/>
      <c r="M18" s="8"/>
      <c r="N18" s="9" t="str">
        <f>HYPERLINK("mailto:andrew.strader@santacruzcounty.us","Andrew Strader")</f>
        <v>Andrew Strader</v>
      </c>
      <c r="O18" s="10" t="str">
        <f>HYPERLINK("mailto:Lisa.Whitlock@fda.hhs.gov","Lisa Whitlock")</f>
        <v>Lisa Whitlock</v>
      </c>
    </row>
    <row r="19" spans="1:15" ht="30" x14ac:dyDescent="0.25">
      <c r="A19" s="11" t="str">
        <f>HYPERLINK("http://www.edcgov.us/EMD/","El Dorado County")</f>
        <v>El Dorado County</v>
      </c>
      <c r="B19" s="12">
        <v>39174</v>
      </c>
      <c r="C19" s="13">
        <v>1</v>
      </c>
      <c r="D19" s="12">
        <v>40263</v>
      </c>
      <c r="E19" s="13"/>
      <c r="F19" s="13"/>
      <c r="G19" s="13"/>
      <c r="H19" s="13"/>
      <c r="I19" s="13"/>
      <c r="J19" s="13"/>
      <c r="K19" s="13" t="s">
        <v>121</v>
      </c>
      <c r="L19" s="13"/>
      <c r="M19" s="13"/>
      <c r="N19" s="14" t="str">
        <f>HYPERLINK("mailto:karen.bender@edcgov.us","Karen Bender")</f>
        <v>Karen Bender</v>
      </c>
      <c r="O19" s="15" t="str">
        <f>HYPERLINK("mailto:Richard.Ramirez@fda.hhs.gov","Richard Ramirez")</f>
        <v>Richard Ramirez</v>
      </c>
    </row>
    <row r="20" spans="1:15" ht="30" x14ac:dyDescent="0.25">
      <c r="A20" s="11" t="str">
        <f>HYPERLINK("http://www.edcgov.us/EMD/","El Dorado County")</f>
        <v>El Dorado County</v>
      </c>
      <c r="B20" s="12">
        <v>39174</v>
      </c>
      <c r="C20" s="13">
        <v>2</v>
      </c>
      <c r="D20" s="12">
        <v>42719</v>
      </c>
      <c r="E20" s="13"/>
      <c r="F20" s="13"/>
      <c r="G20" s="13"/>
      <c r="H20" s="13"/>
      <c r="I20" s="13"/>
      <c r="J20" s="13"/>
      <c r="K20" s="13"/>
      <c r="L20" s="13"/>
      <c r="M20" s="13"/>
      <c r="N20" s="14" t="str">
        <f>HYPERLINK("mailto:karen.bender@edcgov.us","Karen Bender")</f>
        <v>Karen Bender</v>
      </c>
      <c r="O20" s="15" t="str">
        <f>HYPERLINK("mailto:Richard.Ramirez@fda.hhs.gov","Richard Ramirez")</f>
        <v>Richard Ramirez</v>
      </c>
    </row>
    <row r="21" spans="1:15" ht="30" x14ac:dyDescent="0.25">
      <c r="A21" s="6" t="str">
        <f>HYPERLINK("http://www.co.fresno.ca.us/Departments.aspx?id=128","Fresno County")</f>
        <v>Fresno County</v>
      </c>
      <c r="B21" s="7">
        <v>39318</v>
      </c>
      <c r="C21" s="8">
        <v>1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9" t="str">
        <f>HYPERLINK("mailto:SKahl.@co.fresno.ca.us","Stepanie Kahl")</f>
        <v>Stepanie Kahl</v>
      </c>
      <c r="O21" s="10" t="str">
        <f>HYPERLINK("mailto:Richard.Ramirez@fda.hhs.gov","Richard Ramirez")</f>
        <v>Richard Ramirez</v>
      </c>
    </row>
    <row r="22" spans="1:15" ht="30" x14ac:dyDescent="0.25">
      <c r="A22" s="11" t="str">
        <f>HYPERLINK("http://www.co.humboldt.ca.us/","Humboldt County- Div. of Envm. Health")</f>
        <v>Humboldt County- Div. of Envm. Health</v>
      </c>
      <c r="B22" s="12">
        <v>41901</v>
      </c>
      <c r="C22" s="13">
        <v>1</v>
      </c>
      <c r="D22" s="12">
        <v>42382</v>
      </c>
      <c r="E22" s="13"/>
      <c r="F22" s="13"/>
      <c r="G22" s="13"/>
      <c r="H22" s="13"/>
      <c r="I22" s="13"/>
      <c r="J22" s="13" t="s">
        <v>122</v>
      </c>
      <c r="K22" s="13"/>
      <c r="L22" s="13"/>
      <c r="M22" s="13"/>
      <c r="N22" s="14" t="str">
        <f>HYPERLINK("mailto:aruddy@co.humboldt.ca.us","Amanda Ruddy")</f>
        <v>Amanda Ruddy</v>
      </c>
      <c r="O22" s="15" t="str">
        <f>HYPERLINK("mailto:Lisa.Whitlock@fda.hhs.gov","Lisa Whitlock")</f>
        <v>Lisa Whitlock</v>
      </c>
    </row>
    <row r="23" spans="1:15" ht="30" x14ac:dyDescent="0.25">
      <c r="A23" s="6" t="str">
        <f>HYPERLINK("http://www.icphd.org/","Imperial County")</f>
        <v>Imperial County</v>
      </c>
      <c r="B23" s="7">
        <v>41750</v>
      </c>
      <c r="C23" s="8">
        <v>1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9" t="str">
        <f>HYPERLINK("mailto:jefflamoure@co.imperial.ca.us","Jeff Lamoure")</f>
        <v>Jeff Lamoure</v>
      </c>
      <c r="O23" s="10" t="str">
        <f>HYPERLINK("mailto:Richard.Ramirez@fda.hhs.gov","Richard Ramirez")</f>
        <v>Richard Ramirez</v>
      </c>
    </row>
    <row r="24" spans="1:15" x14ac:dyDescent="0.25">
      <c r="A24" s="11" t="str">
        <f>HYPERLINK("http://www.ihs.gov/california/index.cfm/offices/oehe/dehs/","Indian Health Services")</f>
        <v>Indian Health Services</v>
      </c>
      <c r="B24" s="12">
        <v>42115</v>
      </c>
      <c r="C24" s="13">
        <v>1</v>
      </c>
      <c r="D24" s="12">
        <v>42278</v>
      </c>
      <c r="E24" s="13"/>
      <c r="F24" s="13"/>
      <c r="G24" s="13"/>
      <c r="H24" s="13"/>
      <c r="I24" s="13"/>
      <c r="J24" s="13"/>
      <c r="K24" s="13"/>
      <c r="L24" s="13"/>
      <c r="M24" s="13"/>
      <c r="N24" s="14" t="str">
        <f>HYPERLINK("mailto:sandra.mastandrea@ihs.gov","Sandy Mastandrea")</f>
        <v>Sandy Mastandrea</v>
      </c>
      <c r="O24" s="15" t="str">
        <f>HYPERLINK("mailto:Lisa.Whitlock@fda.hhs.gov","Lisa Whitlock")</f>
        <v>Lisa Whitlock</v>
      </c>
    </row>
    <row r="25" spans="1:15" ht="30" x14ac:dyDescent="0.25">
      <c r="A25" s="6" t="str">
        <f>HYPERLINK("http://www.co.kern.ca.us/eh","Kern County")</f>
        <v>Kern County</v>
      </c>
      <c r="B25" s="7">
        <v>38525</v>
      </c>
      <c r="C25" s="8">
        <v>1</v>
      </c>
      <c r="D25" s="7">
        <v>38905</v>
      </c>
      <c r="E25" s="8"/>
      <c r="F25" s="8" t="s">
        <v>123</v>
      </c>
      <c r="G25" s="8" t="s">
        <v>123</v>
      </c>
      <c r="H25" s="8" t="s">
        <v>123</v>
      </c>
      <c r="I25" s="8" t="s">
        <v>123</v>
      </c>
      <c r="J25" s="8" t="s">
        <v>123</v>
      </c>
      <c r="K25" s="8" t="s">
        <v>123</v>
      </c>
      <c r="L25" s="8"/>
      <c r="M25" s="8"/>
      <c r="N25" s="9" t="str">
        <f>HYPERLINK("mailto:dianaw@co.kern.ca.us","Diane Wilson")</f>
        <v>Diane Wilson</v>
      </c>
      <c r="O25" s="10" t="str">
        <f>HYPERLINK("mailto:Richard.Ramirez@fda.hhs.gov","Richard Ramirez")</f>
        <v>Richard Ramirez</v>
      </c>
    </row>
    <row r="26" spans="1:15" ht="30" x14ac:dyDescent="0.25">
      <c r="A26" s="6" t="str">
        <f>HYPERLINK("http://www.co.kern.ca.us/eh","Kern County")</f>
        <v>Kern County</v>
      </c>
      <c r="B26" s="7">
        <v>38525</v>
      </c>
      <c r="C26" s="8">
        <v>2</v>
      </c>
      <c r="D26" s="7">
        <v>41061</v>
      </c>
      <c r="E26" s="8" t="s">
        <v>124</v>
      </c>
      <c r="F26" s="8"/>
      <c r="G26" s="8"/>
      <c r="H26" s="8"/>
      <c r="I26" s="8"/>
      <c r="J26" s="8"/>
      <c r="K26" s="8" t="s">
        <v>124</v>
      </c>
      <c r="L26" s="8"/>
      <c r="M26" s="8"/>
      <c r="N26" s="9" t="str">
        <f>HYPERLINK("mailto:dianaw@co.kern.ca.us","Diane Wilson")</f>
        <v>Diane Wilson</v>
      </c>
      <c r="O26" s="10" t="str">
        <f>HYPERLINK("mailto:Richard.Ramirez@fda.hhs.gov","Richard Ramirez")</f>
        <v>Richard Ramirez</v>
      </c>
    </row>
    <row r="27" spans="1:15" ht="30" x14ac:dyDescent="0.25">
      <c r="A27" s="11" t="str">
        <f>HYPERLINK("http://www.countyofkings.com/health/ehs/food_safety.htm","Kings County Environmental Health Services")</f>
        <v>Kings County Environmental Health Services</v>
      </c>
      <c r="B27" s="12">
        <v>37484</v>
      </c>
      <c r="C27" s="13">
        <v>1</v>
      </c>
      <c r="D27" s="12">
        <v>37896</v>
      </c>
      <c r="E27" s="13"/>
      <c r="F27" s="13"/>
      <c r="G27" s="13"/>
      <c r="H27" s="13"/>
      <c r="I27" s="13"/>
      <c r="J27" s="13"/>
      <c r="K27" s="13" t="s">
        <v>125</v>
      </c>
      <c r="L27" s="13"/>
      <c r="M27" s="13"/>
      <c r="N27" s="13" t="s">
        <v>126</v>
      </c>
      <c r="O27" s="15" t="str">
        <f>HYPERLINK("mailto:Lisa.Whitlock@fda.hhs.gov","Lisa Whitlock")</f>
        <v>Lisa Whitlock</v>
      </c>
    </row>
    <row r="28" spans="1:15" ht="30" x14ac:dyDescent="0.25">
      <c r="A28" s="28" t="s">
        <v>127</v>
      </c>
      <c r="B28" s="7">
        <v>38986</v>
      </c>
      <c r="C28" s="8">
        <v>1</v>
      </c>
      <c r="D28" s="7">
        <v>40243</v>
      </c>
      <c r="E28" s="8"/>
      <c r="F28" s="8"/>
      <c r="G28" s="8"/>
      <c r="H28" s="8"/>
      <c r="I28" s="8"/>
      <c r="J28" s="8"/>
      <c r="K28" s="8"/>
      <c r="L28" s="8"/>
      <c r="M28" s="8"/>
      <c r="N28" s="9" t="str">
        <f>HYPERLINK("mailto:ray.ruminski@lakecountyca.gov","Raymond Ruminski")</f>
        <v>Raymond Ruminski</v>
      </c>
      <c r="O28" s="10" t="str">
        <f>HYPERLINK("mailto:Lisa.Whitlock@fda.hhs.gov","Lisa Whitlock")</f>
        <v>Lisa Whitlock</v>
      </c>
    </row>
    <row r="29" spans="1:15" ht="30" x14ac:dyDescent="0.25">
      <c r="A29" s="28" t="s">
        <v>127</v>
      </c>
      <c r="B29" s="7">
        <v>38986</v>
      </c>
      <c r="C29" s="8">
        <v>2</v>
      </c>
      <c r="D29" s="7">
        <v>41715</v>
      </c>
      <c r="E29" s="8"/>
      <c r="F29" s="8" t="s">
        <v>128</v>
      </c>
      <c r="G29" s="8"/>
      <c r="H29" s="8"/>
      <c r="I29" s="8" t="s">
        <v>129</v>
      </c>
      <c r="J29" s="8"/>
      <c r="K29" s="8"/>
      <c r="L29" s="8"/>
      <c r="M29" s="8"/>
      <c r="N29" s="9" t="str">
        <f>HYPERLINK("mailto:ray.ruminski@lakecountyca.gov","Raymond Ruminski")</f>
        <v>Raymond Ruminski</v>
      </c>
      <c r="O29" s="10" t="str">
        <f>HYPERLINK("mailto:Lisa.Whitlock@fda.hhs.gov","Lisa Whitlock")</f>
        <v>Lisa Whitlock</v>
      </c>
    </row>
    <row r="30" spans="1:15" ht="30" x14ac:dyDescent="0.25">
      <c r="A30" s="29" t="s">
        <v>130</v>
      </c>
      <c r="B30" s="12">
        <v>41907</v>
      </c>
      <c r="C30" s="13">
        <v>1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4" t="str">
        <f>HYPERLINK("mailto:ecognina@co.lassen.ca.us","Ellen Cognina")</f>
        <v>Ellen Cognina</v>
      </c>
      <c r="O30" s="15" t="str">
        <f>HYPERLINK("mailto:Lisa.Whitlock@fda.hhs.gov","Lisa Whitlock")</f>
        <v>Lisa Whitlock</v>
      </c>
    </row>
    <row r="31" spans="1:15" ht="30" x14ac:dyDescent="0.25">
      <c r="A31" s="6" t="str">
        <f>HYPERLINK("http://publichealth.lacounty.gov/eh/index.htm","Los Angeles County Health Department")</f>
        <v>Los Angeles County Health Department</v>
      </c>
      <c r="B31" s="7">
        <v>37214</v>
      </c>
      <c r="C31" s="8">
        <v>1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 t="s">
        <v>131</v>
      </c>
      <c r="O31" s="10" t="str">
        <f>HYPERLINK("mailto:Richard.Ramirez@fda.hhs.gov","Richard Ramirez")</f>
        <v>Richard Ramirez</v>
      </c>
    </row>
    <row r="32" spans="1:15" ht="30" x14ac:dyDescent="0.25">
      <c r="A32" s="6" t="str">
        <f>HYPERLINK("http://publichealth.lacounty.gov/eh/index.htm","Los Angeles County Health Department")</f>
        <v>Los Angeles County Health Department</v>
      </c>
      <c r="B32" s="7">
        <v>37214</v>
      </c>
      <c r="C32" s="8">
        <v>2</v>
      </c>
      <c r="D32" s="7">
        <v>42949</v>
      </c>
      <c r="E32" s="8"/>
      <c r="F32" s="8"/>
      <c r="G32" s="8"/>
      <c r="H32" s="8"/>
      <c r="I32" s="8"/>
      <c r="J32" s="8"/>
      <c r="K32" s="8"/>
      <c r="L32" s="8"/>
      <c r="M32" s="8"/>
      <c r="N32" s="9" t="str">
        <f>HYPERLINK("mailto:Swati Bhatt &lt;sbhatt@ph.lacounty.gov&gt;","Swati Bhatt")</f>
        <v>Swati Bhatt</v>
      </c>
      <c r="O32" s="10" t="str">
        <f>HYPERLINK("mailto:Richard.Ramirez@fda.hhs.gov","Richard Ramirez")</f>
        <v>Richard Ramirez</v>
      </c>
    </row>
    <row r="33" spans="1:15" ht="30" x14ac:dyDescent="0.25">
      <c r="A33" s="11" t="str">
        <f>HYPERLINK("http://www.madera-county.com","Madera County")</f>
        <v>Madera County</v>
      </c>
      <c r="B33" s="12">
        <v>39353</v>
      </c>
      <c r="C33" s="13">
        <v>1</v>
      </c>
      <c r="D33" s="12">
        <v>39954</v>
      </c>
      <c r="E33" s="13"/>
      <c r="F33" s="13" t="s">
        <v>132</v>
      </c>
      <c r="G33" s="13" t="s">
        <v>132</v>
      </c>
      <c r="H33" s="13" t="s">
        <v>132</v>
      </c>
      <c r="I33" s="13" t="s">
        <v>132</v>
      </c>
      <c r="J33" s="13" t="s">
        <v>132</v>
      </c>
      <c r="K33" s="13" t="s">
        <v>132</v>
      </c>
      <c r="L33" s="13"/>
      <c r="M33" s="13"/>
      <c r="N33" s="14" t="str">
        <f>HYPERLINK("mailto:Jerri.Becker@co.madera.ca.gov","Jerri Becker")</f>
        <v>Jerri Becker</v>
      </c>
      <c r="O33" s="15" t="str">
        <f>HYPERLINK("mailto:Richard.Ramirez@fda.hhs.gov","Richard Ramirez")</f>
        <v>Richard Ramirez</v>
      </c>
    </row>
    <row r="34" spans="1:15" ht="30" x14ac:dyDescent="0.25">
      <c r="A34" s="28" t="s">
        <v>133</v>
      </c>
      <c r="B34" s="7">
        <v>41227</v>
      </c>
      <c r="C34" s="8">
        <v>1</v>
      </c>
      <c r="D34" s="8"/>
      <c r="E34" s="8"/>
      <c r="F34" s="8"/>
      <c r="G34" s="8"/>
      <c r="H34" s="8"/>
      <c r="I34" s="8"/>
      <c r="J34" s="8"/>
      <c r="K34" s="8"/>
      <c r="L34" s="8"/>
      <c r="M34" s="8"/>
      <c r="N34" s="8" t="s">
        <v>134</v>
      </c>
      <c r="O34" s="10" t="str">
        <f>HYPERLINK("mailto:Lisa.Whitlock@fda.hhs.gov","Lisa Whitlock")</f>
        <v>Lisa Whitlock</v>
      </c>
    </row>
    <row r="35" spans="1:15" ht="30" x14ac:dyDescent="0.25">
      <c r="A35" s="11" t="str">
        <f>HYPERLINK("http://www.co.merced.ca.us/index.asp","Merced County")</f>
        <v>Merced County</v>
      </c>
      <c r="B35" s="12">
        <v>39377</v>
      </c>
      <c r="C35" s="13">
        <v>1</v>
      </c>
      <c r="D35" s="12">
        <v>41331</v>
      </c>
      <c r="E35" s="13"/>
      <c r="F35" s="13"/>
      <c r="G35" s="13"/>
      <c r="H35" s="13"/>
      <c r="I35" s="13"/>
      <c r="J35" s="13"/>
      <c r="K35" s="13"/>
      <c r="L35" s="13"/>
      <c r="M35" s="13"/>
      <c r="N35" s="14" t="str">
        <f>HYPERLINK("mailto:MCastillo@co.merced.ca.us","Marissa Castillo")</f>
        <v>Marissa Castillo</v>
      </c>
      <c r="O35" s="15" t="str">
        <f>HYPERLINK("mailto:Richard.Ramirez@fda.hhs.gov","Richard Ramirez")</f>
        <v>Richard Ramirez</v>
      </c>
    </row>
    <row r="36" spans="1:15" ht="30" x14ac:dyDescent="0.25">
      <c r="A36" s="6" t="str">
        <f>HYPERLINK("http://www.countyofnapa.org/","Napa County")</f>
        <v>Napa County</v>
      </c>
      <c r="B36" s="7">
        <v>38051</v>
      </c>
      <c r="C36" s="8">
        <v>1</v>
      </c>
      <c r="D36" s="7">
        <v>38085</v>
      </c>
      <c r="E36" s="8"/>
      <c r="F36" s="8"/>
      <c r="G36" s="8"/>
      <c r="H36" s="8"/>
      <c r="I36" s="8"/>
      <c r="J36" s="8" t="s">
        <v>135</v>
      </c>
      <c r="K36" s="8"/>
      <c r="L36" s="8"/>
      <c r="M36" s="8"/>
      <c r="N36" s="8" t="s">
        <v>136</v>
      </c>
      <c r="O36" s="10" t="str">
        <f>HYPERLINK("mailto:Richard.Ramirez@fda.hhs.gov","Richard Ramirez")</f>
        <v>Richard Ramirez</v>
      </c>
    </row>
    <row r="37" spans="1:15" ht="30" x14ac:dyDescent="0.25">
      <c r="A37" s="11" t="str">
        <f>HYPERLINK("http://www.co.nevada.ca.us/ehealth","Nevada County Environmental Health")</f>
        <v>Nevada County Environmental Health</v>
      </c>
      <c r="B37" s="12">
        <v>38957</v>
      </c>
      <c r="C37" s="13">
        <v>1</v>
      </c>
      <c r="D37" s="12">
        <v>40108</v>
      </c>
      <c r="E37" s="13"/>
      <c r="F37" s="13"/>
      <c r="G37" s="13"/>
      <c r="H37" s="13"/>
      <c r="I37" s="13"/>
      <c r="J37" s="13"/>
      <c r="K37" s="13" t="s">
        <v>137</v>
      </c>
      <c r="L37" s="13"/>
      <c r="M37" s="13"/>
      <c r="N37" s="14" t="str">
        <f>HYPERLINK("mailto:amy.irani@co.nevada.ca.us","Amy Irani")</f>
        <v>Amy Irani</v>
      </c>
      <c r="O37" s="15" t="str">
        <f>HYPERLINK("mailto:Lisa.Whitlock@fda.hhs.gov","Lisa Whitlock")</f>
        <v>Lisa Whitlock</v>
      </c>
    </row>
    <row r="38" spans="1:15" ht="30" x14ac:dyDescent="0.25">
      <c r="A38" s="28" t="s">
        <v>138</v>
      </c>
      <c r="B38" s="7">
        <v>39658</v>
      </c>
      <c r="C38" s="8">
        <v>1</v>
      </c>
      <c r="D38" s="8"/>
      <c r="E38" s="8"/>
      <c r="F38" s="8"/>
      <c r="G38" s="8"/>
      <c r="H38" s="8"/>
      <c r="I38" s="8"/>
      <c r="J38" s="8"/>
      <c r="K38" s="8"/>
      <c r="L38" s="8"/>
      <c r="M38" s="8"/>
      <c r="N38" s="9" t="str">
        <f>HYPERLINK("mailto:mhaller@ochca.com","Mike Haller")</f>
        <v>Mike Haller</v>
      </c>
      <c r="O38" s="10" t="str">
        <f>HYPERLINK("mailto:Richard.Ramirez@fda.hhs.gov","Richard Ramirez")</f>
        <v>Richard Ramirez</v>
      </c>
    </row>
    <row r="39" spans="1:15" ht="30" x14ac:dyDescent="0.25">
      <c r="A39" s="29" t="s">
        <v>139</v>
      </c>
      <c r="B39" s="12">
        <v>38082</v>
      </c>
      <c r="C39" s="13">
        <v>1</v>
      </c>
      <c r="D39" s="12">
        <v>38698</v>
      </c>
      <c r="E39" s="13" t="s">
        <v>140</v>
      </c>
      <c r="F39" s="13" t="s">
        <v>140</v>
      </c>
      <c r="G39" s="13" t="s">
        <v>140</v>
      </c>
      <c r="H39" s="13"/>
      <c r="I39" s="13"/>
      <c r="J39" s="13"/>
      <c r="K39" s="13" t="s">
        <v>140</v>
      </c>
      <c r="L39" s="13"/>
      <c r="M39" s="13"/>
      <c r="N39" s="14" t="str">
        <f>HYPERLINK("mailto:lfrias@ochca.com","Liza Frias")</f>
        <v>Liza Frias</v>
      </c>
      <c r="O39" s="15" t="str">
        <f>HYPERLINK("mailto:Richard.Ramirez@fda.hhs.gov","Richard Ramirez")</f>
        <v>Richard Ramirez</v>
      </c>
    </row>
    <row r="40" spans="1:15" ht="45" x14ac:dyDescent="0.25">
      <c r="A40" s="6" t="str">
        <f>HYPERLINK("http://www.placer.ca.gov/","Placer County Environmental Health Department")</f>
        <v>Placer County Environmental Health Department</v>
      </c>
      <c r="B40" s="7">
        <v>37160</v>
      </c>
      <c r="C40" s="8">
        <v>1</v>
      </c>
      <c r="D40" s="7">
        <v>37580</v>
      </c>
      <c r="E40" s="8"/>
      <c r="F40" s="8"/>
      <c r="G40" s="8"/>
      <c r="H40" s="8"/>
      <c r="I40" s="8"/>
      <c r="J40" s="8"/>
      <c r="K40" s="8"/>
      <c r="L40" s="8"/>
      <c r="M40" s="8"/>
      <c r="N40" s="9" t="str">
        <f>HYPERLINK("mailto:dgereke@placer.ca.gov","Diane Gereke")</f>
        <v>Diane Gereke</v>
      </c>
      <c r="O40" s="10" t="str">
        <f>HYPERLINK("mailto:Richard.Ramirez@fda.hhs.gov","Richard Ramirez")</f>
        <v>Richard Ramirez</v>
      </c>
    </row>
    <row r="41" spans="1:15" ht="30" x14ac:dyDescent="0.25">
      <c r="A41" s="11" t="str">
        <f>HYPERLINK("http://www.rivcoeh.org/opencms/index.html","Riverside County Health Services - Department")</f>
        <v>Riverside County Health Services - Department</v>
      </c>
      <c r="B41" s="12">
        <v>37560</v>
      </c>
      <c r="C41" s="13">
        <v>1</v>
      </c>
      <c r="D41" s="12">
        <v>41808</v>
      </c>
      <c r="E41" s="13"/>
      <c r="F41" s="13"/>
      <c r="G41" s="13" t="s">
        <v>141</v>
      </c>
      <c r="H41" s="13"/>
      <c r="I41" s="13"/>
      <c r="J41" s="13" t="s">
        <v>141</v>
      </c>
      <c r="K41" s="13" t="s">
        <v>141</v>
      </c>
      <c r="L41" s="13"/>
      <c r="M41" s="13"/>
      <c r="N41" s="14" t="str">
        <f>HYPERLINK("mailto:SCrossman@rivcocha.org","Sara Crossman")</f>
        <v>Sara Crossman</v>
      </c>
      <c r="O41" s="15" t="str">
        <f>HYPERLINK("mailto:Richard.Ramirez@fda.hhs.gov","Richard Ramirez")</f>
        <v>Richard Ramirez</v>
      </c>
    </row>
    <row r="42" spans="1:15" ht="45" x14ac:dyDescent="0.25">
      <c r="A42" s="6" t="str">
        <f>HYPERLINK("http://www.saccounty.net/","Sacramento County Environmental Management Department")</f>
        <v>Sacramento County Environmental Management Department</v>
      </c>
      <c r="B42" s="7">
        <v>37160</v>
      </c>
      <c r="C42" s="8">
        <v>1</v>
      </c>
      <c r="D42" s="7">
        <v>37414</v>
      </c>
      <c r="E42" s="8"/>
      <c r="F42" s="8"/>
      <c r="G42" s="8"/>
      <c r="H42" s="8"/>
      <c r="I42" s="8"/>
      <c r="J42" s="8"/>
      <c r="K42" s="8"/>
      <c r="L42" s="8"/>
      <c r="M42" s="8"/>
      <c r="N42" s="8" t="s">
        <v>142</v>
      </c>
      <c r="O42" s="10" t="str">
        <f>HYPERLINK("mailto:Lisa.Whitlock@fda.hhs.gov","Lisa Whitlock")</f>
        <v>Lisa Whitlock</v>
      </c>
    </row>
    <row r="43" spans="1:15" ht="45" x14ac:dyDescent="0.25">
      <c r="A43" s="6" t="str">
        <f>HYPERLINK("http://www.saccounty.net/","Sacramento County Environmental Management Department")</f>
        <v>Sacramento County Environmental Management Department</v>
      </c>
      <c r="B43" s="7">
        <v>37160</v>
      </c>
      <c r="C43" s="8">
        <v>2</v>
      </c>
      <c r="D43" s="7">
        <v>38777</v>
      </c>
      <c r="E43" s="8"/>
      <c r="F43" s="8"/>
      <c r="G43" s="8"/>
      <c r="H43" s="8"/>
      <c r="I43" s="8"/>
      <c r="J43" s="8"/>
      <c r="K43" s="8"/>
      <c r="L43" s="8"/>
      <c r="M43" s="8"/>
      <c r="N43" s="8" t="s">
        <v>142</v>
      </c>
      <c r="O43" s="10" t="str">
        <f>HYPERLINK("mailto:Lisa.Whitlock@fda.hhs.gov","Lisa Whitlock")</f>
        <v>Lisa Whitlock</v>
      </c>
    </row>
    <row r="44" spans="1:15" ht="45" x14ac:dyDescent="0.25">
      <c r="A44" s="6" t="str">
        <f>HYPERLINK("http://www.saccounty.net/","Sacramento County Environmental Management Department")</f>
        <v>Sacramento County Environmental Management Department</v>
      </c>
      <c r="B44" s="7">
        <v>37160</v>
      </c>
      <c r="C44" s="8">
        <v>3</v>
      </c>
      <c r="D44" s="7">
        <v>41165</v>
      </c>
      <c r="E44" s="8"/>
      <c r="F44" s="8"/>
      <c r="G44" s="8"/>
      <c r="H44" s="8"/>
      <c r="I44" s="8"/>
      <c r="J44" s="8"/>
      <c r="K44" s="8" t="s">
        <v>143</v>
      </c>
      <c r="L44" s="8"/>
      <c r="M44" s="8"/>
      <c r="N44" s="8" t="s">
        <v>142</v>
      </c>
      <c r="O44" s="10" t="str">
        <f>HYPERLINK("mailto:Lisa.Whitlock@fda.hhs.gov","Lisa Whitlock")</f>
        <v>Lisa Whitlock</v>
      </c>
    </row>
    <row r="45" spans="1:15" ht="45" x14ac:dyDescent="0.25">
      <c r="A45" s="11" t="str">
        <f>HYPERLINK("http://www.co.san-diego.ca.us/deh/","San Diego County Department of Environmental Health")</f>
        <v>San Diego County Department of Environmental Health</v>
      </c>
      <c r="B45" s="12">
        <v>37120</v>
      </c>
      <c r="C45" s="13">
        <v>1</v>
      </c>
      <c r="D45" s="12">
        <v>38484</v>
      </c>
      <c r="E45" s="13"/>
      <c r="F45" s="13" t="s">
        <v>144</v>
      </c>
      <c r="G45" s="13" t="s">
        <v>144</v>
      </c>
      <c r="H45" s="13" t="s">
        <v>144</v>
      </c>
      <c r="I45" s="13" t="s">
        <v>144</v>
      </c>
      <c r="J45" s="13" t="s">
        <v>144</v>
      </c>
      <c r="K45" s="13" t="s">
        <v>144</v>
      </c>
      <c r="L45" s="13"/>
      <c r="M45" s="13"/>
      <c r="N45" s="14" t="str">
        <f>HYPERLINK("mailto:Gloria.Estolano@sdcounty.ca.gov","Gloria Estolano")</f>
        <v>Gloria Estolano</v>
      </c>
      <c r="O45" s="15" t="str">
        <f>HYPERLINK("mailto:Richard.Ramirez@fda.hhs.gov","Richard Ramirez")</f>
        <v>Richard Ramirez</v>
      </c>
    </row>
    <row r="46" spans="1:15" ht="45" x14ac:dyDescent="0.25">
      <c r="A46" s="6" t="str">
        <f>HYPERLINK("http://www.sjgov.org/ehd","San Joaquin County Department of Environmental Health")</f>
        <v>San Joaquin County Department of Environmental Health</v>
      </c>
      <c r="B46" s="7">
        <v>39000</v>
      </c>
      <c r="C46" s="8">
        <v>1</v>
      </c>
      <c r="D46" s="7">
        <v>39794</v>
      </c>
      <c r="E46" s="8"/>
      <c r="F46" s="8"/>
      <c r="G46" s="8"/>
      <c r="H46" s="8"/>
      <c r="I46" s="8"/>
      <c r="J46" s="8"/>
      <c r="K46" s="8" t="s">
        <v>145</v>
      </c>
      <c r="L46" s="8"/>
      <c r="M46" s="8"/>
      <c r="N46" s="9" t="str">
        <f>HYPERLINK("mailto:jcarruesco@sjcehd.com","Jeff Carruesco")</f>
        <v>Jeff Carruesco</v>
      </c>
      <c r="O46" s="10" t="str">
        <f>HYPERLINK("mailto:Richard.Ramirez@fda.hhs.gov","Richard Ramirez")</f>
        <v>Richard Ramirez</v>
      </c>
    </row>
    <row r="47" spans="1:15" ht="30" x14ac:dyDescent="0.25">
      <c r="A47" s="11" t="str">
        <f>HYPERLINK("http://www.slocounty.ca.gov/","San Luis Obispo County Environmental Health")</f>
        <v>San Luis Obispo County Environmental Health</v>
      </c>
      <c r="B47" s="12">
        <v>40324</v>
      </c>
      <c r="C47" s="13">
        <v>1</v>
      </c>
      <c r="D47" s="12">
        <v>41298</v>
      </c>
      <c r="E47" s="13"/>
      <c r="F47" s="13"/>
      <c r="G47" s="13" t="s">
        <v>146</v>
      </c>
      <c r="H47" s="13"/>
      <c r="I47" s="13"/>
      <c r="J47" s="13"/>
      <c r="K47" s="13" t="s">
        <v>147</v>
      </c>
      <c r="L47" s="13"/>
      <c r="M47" s="13"/>
      <c r="N47" s="14" t="str">
        <f>HYPERLINK("mailto:lsalo@co.slo.ca.us","Laurie A. Salo")</f>
        <v>Laurie A. Salo</v>
      </c>
      <c r="O47" s="15" t="str">
        <f>HYPERLINK("mailto:Lisa.Whitlock@fda.hhs.gov","Lisa Whitlock")</f>
        <v>Lisa Whitlock</v>
      </c>
    </row>
    <row r="48" spans="1:15" ht="30" x14ac:dyDescent="0.25">
      <c r="A48" s="28" t="s">
        <v>148</v>
      </c>
      <c r="B48" s="7">
        <v>39639</v>
      </c>
      <c r="C48" s="8">
        <v>1</v>
      </c>
      <c r="D48" s="7">
        <v>40246</v>
      </c>
      <c r="E48" s="8"/>
      <c r="F48" s="8"/>
      <c r="G48" s="8"/>
      <c r="H48" s="8"/>
      <c r="I48" s="8"/>
      <c r="J48" s="8"/>
      <c r="K48" s="8"/>
      <c r="L48" s="8"/>
      <c r="M48" s="8"/>
      <c r="N48" s="9" t="str">
        <f>HYPERLINK("mailto:knichols@smcgov.org","Kameisha Nichols")</f>
        <v>Kameisha Nichols</v>
      </c>
      <c r="O48" s="10" t="str">
        <f>HYPERLINK("mailto:Lisa.Whitlock@fda.hhs.gov","Lisa Whitlock")</f>
        <v>Lisa Whitlock</v>
      </c>
    </row>
    <row r="49" spans="1:15" ht="30" x14ac:dyDescent="0.25">
      <c r="A49" s="28" t="s">
        <v>148</v>
      </c>
      <c r="B49" s="7">
        <v>39639</v>
      </c>
      <c r="C49" s="8">
        <v>2</v>
      </c>
      <c r="D49" s="7">
        <v>41815</v>
      </c>
      <c r="E49" s="8"/>
      <c r="F49" s="8"/>
      <c r="G49" s="8"/>
      <c r="H49" s="8"/>
      <c r="I49" s="8"/>
      <c r="J49" s="8"/>
      <c r="K49" s="8" t="s">
        <v>149</v>
      </c>
      <c r="L49" s="8"/>
      <c r="M49" s="8"/>
      <c r="N49" s="9" t="str">
        <f>HYPERLINK("mailto:knichols@smcgov.org","Kameisha Nichols")</f>
        <v>Kameisha Nichols</v>
      </c>
      <c r="O49" s="10" t="str">
        <f>HYPERLINK("mailto:Lisa.Whitlock@fda.hhs.gov","Lisa Whitlock")</f>
        <v>Lisa Whitlock</v>
      </c>
    </row>
    <row r="50" spans="1:15" ht="45" x14ac:dyDescent="0.25">
      <c r="A50" s="11" t="str">
        <f>HYPERLINK("http://www.ehinfo.org/","Santa Clara County Department of Environmental Health")</f>
        <v>Santa Clara County Department of Environmental Health</v>
      </c>
      <c r="B50" s="12">
        <v>37159</v>
      </c>
      <c r="C50" s="13">
        <v>1</v>
      </c>
      <c r="D50" s="12">
        <v>37477</v>
      </c>
      <c r="E50" s="13" t="s">
        <v>150</v>
      </c>
      <c r="F50" s="13"/>
      <c r="G50" s="13"/>
      <c r="H50" s="13"/>
      <c r="I50" s="13"/>
      <c r="J50" s="13"/>
      <c r="K50" s="13" t="s">
        <v>150</v>
      </c>
      <c r="L50" s="13" t="s">
        <v>150</v>
      </c>
      <c r="M50" s="13"/>
      <c r="N50" s="13"/>
      <c r="O50" s="15" t="str">
        <f>HYPERLINK("mailto:Lisa.Whitlock@fda.hhs.gov","Lisa Whitlock")</f>
        <v>Lisa Whitlock</v>
      </c>
    </row>
    <row r="51" spans="1:15" ht="45" x14ac:dyDescent="0.25">
      <c r="A51" s="11" t="str">
        <f>HYPERLINK("http://www.ehinfo.org/","Santa Clara County Department of Environmental Health")</f>
        <v>Santa Clara County Department of Environmental Health</v>
      </c>
      <c r="B51" s="12">
        <v>37159</v>
      </c>
      <c r="C51" s="13">
        <v>2</v>
      </c>
      <c r="D51" s="12">
        <v>42166</v>
      </c>
      <c r="E51" s="13"/>
      <c r="F51" s="13"/>
      <c r="G51" s="13"/>
      <c r="H51" s="13"/>
      <c r="I51" s="13"/>
      <c r="J51" s="13"/>
      <c r="K51" s="13" t="s">
        <v>151</v>
      </c>
      <c r="L51" s="13"/>
      <c r="M51" s="13"/>
      <c r="N51" s="14" t="str">
        <f>HYPERLINK("mailto:Rochelle.Gaddi@deh.sccgov.org","Rochelle Gaddi")</f>
        <v>Rochelle Gaddi</v>
      </c>
      <c r="O51" s="15" t="str">
        <f>HYPERLINK("mailto:Lisa.Whitlock@fda.hhs.gov","Lisa Whitlock")</f>
        <v>Lisa Whitlock</v>
      </c>
    </row>
    <row r="52" spans="1:15" ht="30" x14ac:dyDescent="0.25">
      <c r="A52" s="28" t="s">
        <v>152</v>
      </c>
      <c r="B52" s="7">
        <v>39927</v>
      </c>
      <c r="C52" s="8">
        <v>1</v>
      </c>
      <c r="D52" s="7">
        <v>40248</v>
      </c>
      <c r="E52" s="8"/>
      <c r="F52" s="8"/>
      <c r="G52" s="8"/>
      <c r="H52" s="8"/>
      <c r="I52" s="8"/>
      <c r="J52" s="8"/>
      <c r="K52" s="8"/>
      <c r="L52" s="8"/>
      <c r="M52" s="8"/>
      <c r="N52" s="9" t="str">
        <f>HYPERLINK("mailto:emorgan@sierracounty.us","Elizabeth Morgan")</f>
        <v>Elizabeth Morgan</v>
      </c>
      <c r="O52" s="10" t="str">
        <f>HYPERLINK("mailto:Lisa.Whitlock@fda.hhs.gov","Lisa Whitlock")</f>
        <v>Lisa Whitlock</v>
      </c>
    </row>
    <row r="53" spans="1:15" ht="30" x14ac:dyDescent="0.25">
      <c r="A53" s="28" t="s">
        <v>152</v>
      </c>
      <c r="B53" s="7">
        <v>39927</v>
      </c>
      <c r="C53" s="8">
        <v>2</v>
      </c>
      <c r="D53" s="7">
        <v>42286</v>
      </c>
      <c r="E53" s="8"/>
      <c r="F53" s="8"/>
      <c r="G53" s="8" t="s">
        <v>153</v>
      </c>
      <c r="H53" s="8"/>
      <c r="I53" s="8"/>
      <c r="J53" s="8"/>
      <c r="K53" s="8"/>
      <c r="L53" s="8"/>
      <c r="M53" s="8"/>
      <c r="N53" s="9" t="str">
        <f>HYPERLINK("mailto:emorgan@sierracounty.us","Elizabeth Morgan")</f>
        <v>Elizabeth Morgan</v>
      </c>
      <c r="O53" s="10" t="str">
        <f>HYPERLINK("mailto:Lisa.Whitlock@fda.hhs.gov","Lisa Whitlock")</f>
        <v>Lisa Whitlock</v>
      </c>
    </row>
    <row r="54" spans="1:15" ht="45" x14ac:dyDescent="0.25">
      <c r="A54" s="11" t="str">
        <f>HYPERLINK("http://www.co.solano.ca.us/","Solano County, Environmental Health Division")</f>
        <v>Solano County, Environmental Health Division</v>
      </c>
      <c r="B54" s="12">
        <v>37490</v>
      </c>
      <c r="C54" s="13">
        <v>1</v>
      </c>
      <c r="D54" s="12">
        <v>37679</v>
      </c>
      <c r="E54" s="13"/>
      <c r="F54" s="13"/>
      <c r="G54" s="13"/>
      <c r="H54" s="13"/>
      <c r="I54" s="13"/>
      <c r="J54" s="13"/>
      <c r="K54" s="13"/>
      <c r="L54" s="13"/>
      <c r="M54" s="13"/>
      <c r="N54" s="14" t="str">
        <f>HYPERLINK("mailto:jsahota@solanocounty.com","Jagjinder Sahota")</f>
        <v>Jagjinder Sahota</v>
      </c>
      <c r="O54" s="15" t="str">
        <f>HYPERLINK("mailto:Lisa.Whitlock@fda.hhs.gov","Lisa Whitlock")</f>
        <v>Lisa Whitlock</v>
      </c>
    </row>
    <row r="55" spans="1:15" ht="45" x14ac:dyDescent="0.25">
      <c r="A55" s="11" t="str">
        <f>HYPERLINK("http://www.co.solano.ca.us/","Solano County, Environmental Health Division")</f>
        <v>Solano County, Environmental Health Division</v>
      </c>
      <c r="B55" s="12">
        <v>37490</v>
      </c>
      <c r="C55" s="13">
        <v>2</v>
      </c>
      <c r="D55" s="12">
        <v>41347</v>
      </c>
      <c r="E55" s="13"/>
      <c r="F55" s="13"/>
      <c r="G55" s="13"/>
      <c r="H55" s="13"/>
      <c r="I55" s="13"/>
      <c r="J55" s="13"/>
      <c r="K55" s="13" t="s">
        <v>154</v>
      </c>
      <c r="L55" s="13"/>
      <c r="M55" s="13"/>
      <c r="N55" s="14" t="str">
        <f>HYPERLINK("mailto:jsahota@solanocounty.com","Jagjinder Sahota")</f>
        <v>Jagjinder Sahota</v>
      </c>
      <c r="O55" s="15" t="str">
        <f>HYPERLINK("mailto:Lisa.Whitlock@fda.hhs.gov","Lisa Whitlock")</f>
        <v>Lisa Whitlock</v>
      </c>
    </row>
    <row r="56" spans="1:15" ht="45" x14ac:dyDescent="0.25">
      <c r="A56" s="6" t="str">
        <f>HYPERLINK("http://www.sonoma-county.org/health/eh/index.htm","Sonoma County Environmental Health Division")</f>
        <v>Sonoma County Environmental Health Division</v>
      </c>
      <c r="B56" s="7">
        <v>37160</v>
      </c>
      <c r="C56" s="8">
        <v>1</v>
      </c>
      <c r="D56" s="7">
        <v>37386</v>
      </c>
      <c r="E56" s="8"/>
      <c r="F56" s="8"/>
      <c r="G56" s="8"/>
      <c r="H56" s="8"/>
      <c r="I56" s="8"/>
      <c r="J56" s="8"/>
      <c r="K56" s="8" t="s">
        <v>155</v>
      </c>
      <c r="L56" s="8"/>
      <c r="M56" s="8"/>
      <c r="N56" s="8" t="s">
        <v>156</v>
      </c>
      <c r="O56" s="10" t="str">
        <f>HYPERLINK("mailto:Lisa.Whitlock@fda.hhs.gov","Lisa Whitlock")</f>
        <v>Lisa Whitlock</v>
      </c>
    </row>
    <row r="57" spans="1:15" ht="45" x14ac:dyDescent="0.25">
      <c r="A57" s="6" t="str">
        <f>HYPERLINK("http://www.sonoma-county.org/health/eh/index.htm","Sonoma County Environmental Health Division")</f>
        <v>Sonoma County Environmental Health Division</v>
      </c>
      <c r="B57" s="7">
        <v>37160</v>
      </c>
      <c r="C57" s="8">
        <v>2</v>
      </c>
      <c r="D57" s="7">
        <v>42153</v>
      </c>
      <c r="E57" s="8"/>
      <c r="F57" s="8"/>
      <c r="G57" s="8"/>
      <c r="H57" s="8"/>
      <c r="I57" s="8" t="s">
        <v>157</v>
      </c>
      <c r="J57" s="8"/>
      <c r="K57" s="8" t="s">
        <v>158</v>
      </c>
      <c r="L57" s="8"/>
      <c r="M57" s="8"/>
      <c r="N57" s="8" t="s">
        <v>156</v>
      </c>
      <c r="O57" s="10" t="str">
        <f>HYPERLINK("mailto:Lisa.Whitlock@fda.hhs.gov","Lisa Whitlock")</f>
        <v>Lisa Whitlock</v>
      </c>
    </row>
    <row r="58" spans="1:15" x14ac:dyDescent="0.25">
      <c r="A58" s="29" t="s">
        <v>159</v>
      </c>
      <c r="B58" s="12">
        <v>38926</v>
      </c>
      <c r="C58" s="13">
        <v>1</v>
      </c>
      <c r="D58" s="12">
        <v>40056</v>
      </c>
      <c r="E58" s="13"/>
      <c r="F58" s="13"/>
      <c r="G58" s="13" t="s">
        <v>160</v>
      </c>
      <c r="H58" s="13"/>
      <c r="I58" s="13"/>
      <c r="J58" s="13"/>
      <c r="K58" s="13"/>
      <c r="L58" s="13"/>
      <c r="M58" s="13"/>
      <c r="N58" s="14" t="str">
        <f>HYPERLINK("mailto:potanov@pacbell.net","Tim Potanovic")</f>
        <v>Tim Potanovic</v>
      </c>
      <c r="O58" s="15" t="str">
        <f>HYPERLINK("mailto:Lisa.Whitlock@fda.hhs.gov","Lisa Whitlock")</f>
        <v>Lisa Whitlock</v>
      </c>
    </row>
    <row r="59" spans="1:15" ht="30" x14ac:dyDescent="0.25">
      <c r="A59" s="6" t="str">
        <f>HYPERLINK("http://www.tularehhsa.org/index.cfm/administration/","Tulare County")</f>
        <v>Tulare County</v>
      </c>
      <c r="B59" s="7">
        <v>39450</v>
      </c>
      <c r="C59" s="8">
        <v>1</v>
      </c>
      <c r="D59" s="7">
        <v>39853</v>
      </c>
      <c r="E59" s="8"/>
      <c r="F59" s="8"/>
      <c r="G59" s="8" t="s">
        <v>161</v>
      </c>
      <c r="H59" s="8"/>
      <c r="I59" s="8"/>
      <c r="J59" s="8"/>
      <c r="K59" s="8" t="s">
        <v>161</v>
      </c>
      <c r="L59" s="8"/>
      <c r="M59" s="8"/>
      <c r="N59" s="9" t="str">
        <f>HYPERLINK("mailto:ngonzale@tularehhsa.org","Nilsa Gonzalez")</f>
        <v>Nilsa Gonzalez</v>
      </c>
      <c r="O59" s="10" t="str">
        <f>HYPERLINK("mailto:Richard.Ramirez@fda.hhs.gov","Richard Ramirez")</f>
        <v>Richard Ramirez</v>
      </c>
    </row>
    <row r="60" spans="1:15" ht="30" x14ac:dyDescent="0.25">
      <c r="A60" s="6" t="str">
        <f>HYPERLINK("http://www.tularehhsa.org/index.cfm/administration/","Tulare County")</f>
        <v>Tulare County</v>
      </c>
      <c r="B60" s="7">
        <v>39450</v>
      </c>
      <c r="C60" s="8">
        <v>2</v>
      </c>
      <c r="D60" s="7">
        <v>41989</v>
      </c>
      <c r="E60" s="8"/>
      <c r="F60" s="8"/>
      <c r="G60" s="8" t="s">
        <v>162</v>
      </c>
      <c r="H60" s="8"/>
      <c r="I60" s="8"/>
      <c r="J60" s="8"/>
      <c r="K60" s="8" t="s">
        <v>162</v>
      </c>
      <c r="L60" s="8"/>
      <c r="M60" s="8"/>
      <c r="N60" s="9" t="str">
        <f>HYPERLINK("mailto:ngonzale@tularehhsa.org","Nilsa Gonzalez")</f>
        <v>Nilsa Gonzalez</v>
      </c>
      <c r="O60" s="10" t="str">
        <f>HYPERLINK("mailto:Richard.Ramirez@fda.hhs.gov","Richard Ramirez")</f>
        <v>Richard Ramirez</v>
      </c>
    </row>
    <row r="61" spans="1:15" ht="30" x14ac:dyDescent="0.25">
      <c r="A61" s="22" t="str">
        <f>HYPERLINK("http://www.viejasbandofkumeyaay.org/","Viejas Tribe &amp; Government")</f>
        <v>Viejas Tribe &amp; Government</v>
      </c>
      <c r="B61" s="23">
        <v>39456</v>
      </c>
      <c r="C61" s="24">
        <v>1</v>
      </c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5" t="str">
        <f>HYPERLINK("mailto:GarielW@VIEJAS.com","Gabriel Walker")</f>
        <v>Gabriel Walker</v>
      </c>
      <c r="O61" s="26" t="str">
        <f>HYPERLINK("mailto:Richard.Ramirez@fda.hhs.gov","Richard Ramirez")</f>
        <v>Richard Ramirez</v>
      </c>
    </row>
  </sheetData>
  <pageMargins left="0.15" right="0.15" top="0.25" bottom="0.25" header="0.05" footer="0.05"/>
  <pageSetup orientation="landscape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55D2B-6985-49F8-A0E7-11E00003D52C}">
  <sheetPr>
    <pageSetUpPr fitToPage="1"/>
  </sheetPr>
  <dimension ref="A1:O57"/>
  <sheetViews>
    <sheetView workbookViewId="0"/>
  </sheetViews>
  <sheetFormatPr defaultRowHeight="15" x14ac:dyDescent="0.25"/>
  <cols>
    <col min="1" max="1" width="33.7109375" customWidth="1"/>
    <col min="2" max="2" width="14.85546875" customWidth="1"/>
    <col min="3" max="3" width="18.42578125" customWidth="1"/>
    <col min="4" max="4" width="22" customWidth="1"/>
    <col min="5" max="13" width="17.28515625" customWidth="1"/>
    <col min="14" max="14" width="14.85546875" customWidth="1"/>
    <col min="15" max="15" width="13.140625" customWidth="1"/>
  </cols>
  <sheetData>
    <row r="1" spans="1:15" x14ac:dyDescent="0.25">
      <c r="A1" t="s">
        <v>249</v>
      </c>
      <c r="B1" s="2" t="str">
        <f>HYPERLINK("#Introduction!A1","Back to Introduction Page")</f>
        <v>Back to Introduction Page</v>
      </c>
    </row>
    <row r="2" spans="1:15" x14ac:dyDescent="0.25">
      <c r="A2" s="21" t="s">
        <v>250</v>
      </c>
    </row>
    <row r="3" spans="1:15" ht="45" x14ac:dyDescent="0.25">
      <c r="A3" s="4" t="s">
        <v>15</v>
      </c>
      <c r="B3" s="3" t="s">
        <v>16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21</v>
      </c>
      <c r="H3" s="3" t="s">
        <v>22</v>
      </c>
      <c r="I3" s="3" t="s">
        <v>23</v>
      </c>
      <c r="J3" s="3" t="s">
        <v>24</v>
      </c>
      <c r="K3" s="3" t="s">
        <v>25</v>
      </c>
      <c r="L3" s="3" t="s">
        <v>26</v>
      </c>
      <c r="M3" s="3" t="s">
        <v>27</v>
      </c>
      <c r="N3" s="3" t="s">
        <v>28</v>
      </c>
      <c r="O3" s="5" t="s">
        <v>29</v>
      </c>
    </row>
    <row r="4" spans="1:15" ht="30" x14ac:dyDescent="0.25">
      <c r="A4" s="6" t="str">
        <f>HYPERLINK("http://www.alamosacounty.org/departments/public-health","Alamosa County Public Health Dept./Envm. Health")</f>
        <v>Alamosa County Public Health Dept./Envm. Health</v>
      </c>
      <c r="B4" s="7">
        <v>41865</v>
      </c>
      <c r="C4" s="8">
        <v>1</v>
      </c>
      <c r="D4" s="7">
        <v>42166</v>
      </c>
      <c r="E4" s="8"/>
      <c r="F4" s="8" t="s">
        <v>165</v>
      </c>
      <c r="G4" s="8"/>
      <c r="H4" s="8"/>
      <c r="I4" s="8"/>
      <c r="J4" s="8"/>
      <c r="K4" s="8" t="s">
        <v>166</v>
      </c>
      <c r="L4" s="8"/>
      <c r="M4" s="8"/>
      <c r="N4" s="9" t="str">
        <f>HYPERLINK("mailto:lrappold@alamosacounty.org","Lynnea Rappold")</f>
        <v>Lynnea Rappold</v>
      </c>
      <c r="O4" s="10" t="str">
        <f>HYPERLINK("mailto:Mario.Seminara@fda.hhs.gov","Mario Seminara")</f>
        <v>Mario Seminara</v>
      </c>
    </row>
    <row r="5" spans="1:15" ht="30" x14ac:dyDescent="0.25">
      <c r="A5" s="11" t="str">
        <f>HYPERLINK("http://www.bouldercounty.org/health/environ/foodsafety/","Boulder County Public Health Department")</f>
        <v>Boulder County Public Health Department</v>
      </c>
      <c r="B5" s="12">
        <v>39622</v>
      </c>
      <c r="C5" s="13">
        <v>1</v>
      </c>
      <c r="D5" s="12">
        <v>40140</v>
      </c>
      <c r="E5" s="13"/>
      <c r="F5" s="13" t="s">
        <v>167</v>
      </c>
      <c r="G5" s="13" t="s">
        <v>168</v>
      </c>
      <c r="H5" s="13"/>
      <c r="I5" s="13" t="s">
        <v>169</v>
      </c>
      <c r="J5" s="13"/>
      <c r="K5" s="13" t="s">
        <v>170</v>
      </c>
      <c r="L5" s="13"/>
      <c r="M5" s="13" t="s">
        <v>171</v>
      </c>
      <c r="N5" s="13"/>
      <c r="O5" s="15" t="str">
        <f>HYPERLINK("mailto:Mario.Seminara@fda.hhs.gov","Mario Seminara")</f>
        <v>Mario Seminara</v>
      </c>
    </row>
    <row r="6" spans="1:15" ht="30" x14ac:dyDescent="0.25">
      <c r="A6" s="11" t="str">
        <f>HYPERLINK("http://www.bouldercounty.org/health/environ/foodsafety/","Boulder County Public Health Department")</f>
        <v>Boulder County Public Health Department</v>
      </c>
      <c r="B6" s="12">
        <v>39622</v>
      </c>
      <c r="C6" s="13">
        <v>2</v>
      </c>
      <c r="D6" s="12">
        <v>41551</v>
      </c>
      <c r="E6" s="13"/>
      <c r="F6" s="13"/>
      <c r="G6" s="13"/>
      <c r="H6" s="13" t="s">
        <v>172</v>
      </c>
      <c r="I6" s="13" t="s">
        <v>169</v>
      </c>
      <c r="J6" s="13" t="s">
        <v>173</v>
      </c>
      <c r="K6" s="13"/>
      <c r="L6" s="13"/>
      <c r="M6" s="13" t="s">
        <v>171</v>
      </c>
      <c r="N6" s="13"/>
      <c r="O6" s="15" t="str">
        <f>HYPERLINK("mailto:Mario.Seminara@fda.hhs.gov","Mario Seminara")</f>
        <v>Mario Seminara</v>
      </c>
    </row>
    <row r="7" spans="1:15" ht="30" x14ac:dyDescent="0.25">
      <c r="A7" s="11" t="str">
        <f>HYPERLINK("http://www.bouldercounty.org/health/environ/foodsafety/","Boulder County Public Health Department")</f>
        <v>Boulder County Public Health Department</v>
      </c>
      <c r="B7" s="12">
        <v>39622</v>
      </c>
      <c r="C7" s="13">
        <v>3</v>
      </c>
      <c r="D7" s="12">
        <v>42885</v>
      </c>
      <c r="E7" s="13"/>
      <c r="F7" s="13"/>
      <c r="G7" s="13"/>
      <c r="H7" s="13" t="s">
        <v>172</v>
      </c>
      <c r="I7" s="13"/>
      <c r="J7" s="13"/>
      <c r="K7" s="13" t="s">
        <v>174</v>
      </c>
      <c r="L7" s="13"/>
      <c r="M7" s="13"/>
      <c r="N7" s="14" t="str">
        <f>HYPERLINK("mailto:ldrager@bouldercounty.org","Lane Drager")</f>
        <v>Lane Drager</v>
      </c>
      <c r="O7" s="15" t="str">
        <f>HYPERLINK("mailto:Mario.Seminara@fda.hhs.gov","Mario Seminara")</f>
        <v>Mario Seminara</v>
      </c>
    </row>
    <row r="8" spans="1:15" ht="30" x14ac:dyDescent="0.25">
      <c r="A8" s="6" t="str">
        <f>HYPERLINK("http://www.broomfield.org/hhs/Public_Health_Environment/index.shtml","Broomfield Public Health and Environment")</f>
        <v>Broomfield Public Health and Environment</v>
      </c>
      <c r="B8" s="7">
        <v>40457</v>
      </c>
      <c r="C8" s="8">
        <v>1</v>
      </c>
      <c r="D8" s="7">
        <v>41110</v>
      </c>
      <c r="E8" s="8"/>
      <c r="F8" s="8"/>
      <c r="G8" s="8"/>
      <c r="H8" s="8"/>
      <c r="I8" s="8"/>
      <c r="J8" s="8"/>
      <c r="K8" s="8" t="s">
        <v>175</v>
      </c>
      <c r="L8" s="8"/>
      <c r="M8" s="8"/>
      <c r="N8" s="9" t="str">
        <f>HYPERLINK("mailto:dcollins@broomfield.org","Dan Collins")</f>
        <v>Dan Collins</v>
      </c>
      <c r="O8" s="10" t="str">
        <f>HYPERLINK("mailto:Mario.Seminara@fda.hhs.gov","Mario Seminara")</f>
        <v>Mario Seminara</v>
      </c>
    </row>
    <row r="9" spans="1:15" ht="30" x14ac:dyDescent="0.25">
      <c r="A9" s="6" t="str">
        <f>HYPERLINK("http://www.broomfield.org/hhs/Public_Health_Environment/index.shtml","Broomfield Public Health and Environment")</f>
        <v>Broomfield Public Health and Environment</v>
      </c>
      <c r="B9" s="7">
        <v>40457</v>
      </c>
      <c r="C9" s="8">
        <v>2</v>
      </c>
      <c r="D9" s="7">
        <v>42745</v>
      </c>
      <c r="E9" s="8"/>
      <c r="F9" s="8" t="s">
        <v>176</v>
      </c>
      <c r="G9" s="8"/>
      <c r="H9" s="8"/>
      <c r="I9" s="8"/>
      <c r="J9" s="8"/>
      <c r="K9" s="8"/>
      <c r="L9" s="8"/>
      <c r="M9" s="8"/>
      <c r="N9" s="9" t="str">
        <f>HYPERLINK("mailto:dcollins@broomfield.org","Dan Collins")</f>
        <v>Dan Collins</v>
      </c>
      <c r="O9" s="10" t="str">
        <f>HYPERLINK("mailto:Mario.Seminara@fda.hhs.gov","Mario Seminara")</f>
        <v>Mario Seminara</v>
      </c>
    </row>
    <row r="10" spans="1:15" ht="45" x14ac:dyDescent="0.25">
      <c r="A10" s="29" t="s">
        <v>177</v>
      </c>
      <c r="B10" s="12">
        <v>41879</v>
      </c>
      <c r="C10" s="13">
        <v>1</v>
      </c>
      <c r="D10" s="12">
        <v>42432</v>
      </c>
      <c r="E10" s="13"/>
      <c r="F10" s="13"/>
      <c r="G10" s="13"/>
      <c r="H10" s="13"/>
      <c r="I10" s="13"/>
      <c r="J10" s="13"/>
      <c r="K10" s="13"/>
      <c r="L10" s="13"/>
      <c r="M10" s="13"/>
      <c r="N10" s="14" t="str">
        <f>HYPERLINK("mailto:wurbanos@chaffeecounty.org","Wano Urbanos")</f>
        <v>Wano Urbanos</v>
      </c>
      <c r="O10" s="15" t="str">
        <f>HYPERLINK("mailto:Mario.Seminara@fda.hhs.gov","Mario Seminara")</f>
        <v>Mario Seminara</v>
      </c>
    </row>
    <row r="11" spans="1:15" ht="30" x14ac:dyDescent="0.25">
      <c r="A11" s="6" t="str">
        <f>HYPERLINK("http://www.aspenpitkin.com/Departments/Environmental-Health/","City of Aspen")</f>
        <v>City of Aspen</v>
      </c>
      <c r="B11" s="7">
        <v>41599</v>
      </c>
      <c r="C11" s="8">
        <v>1</v>
      </c>
      <c r="D11" s="7">
        <v>41878</v>
      </c>
      <c r="E11" s="8"/>
      <c r="F11" s="8"/>
      <c r="G11" s="8"/>
      <c r="H11" s="8"/>
      <c r="I11" s="8"/>
      <c r="J11" s="8"/>
      <c r="K11" s="8"/>
      <c r="L11" s="8"/>
      <c r="M11" s="8"/>
      <c r="N11" s="9" t="str">
        <f>HYPERLINK("mailto:Nick.trutner@cityofaspen.com","Nick Trutner")</f>
        <v>Nick Trutner</v>
      </c>
      <c r="O11" s="10" t="str">
        <f>HYPERLINK("mailto:Mario.Seminara@fda.hhs.gov","Mario Seminara")</f>
        <v>Mario Seminara</v>
      </c>
    </row>
    <row r="12" spans="1:15" ht="45" x14ac:dyDescent="0.25">
      <c r="A12" s="11" t="str">
        <f>HYPERLINK("http://www.cdphe.state.co.us/","Colorado Department of Public Health and Environment")</f>
        <v>Colorado Department of Public Health and Environment</v>
      </c>
      <c r="B12" s="12">
        <v>38982</v>
      </c>
      <c r="C12" s="13">
        <v>1</v>
      </c>
      <c r="D12" s="12">
        <v>39222</v>
      </c>
      <c r="E12" s="13"/>
      <c r="F12" s="13" t="s">
        <v>178</v>
      </c>
      <c r="G12" s="13" t="s">
        <v>178</v>
      </c>
      <c r="H12" s="13"/>
      <c r="I12" s="13"/>
      <c r="J12" s="13"/>
      <c r="K12" s="13" t="s">
        <v>179</v>
      </c>
      <c r="L12" s="13"/>
      <c r="M12" s="13"/>
      <c r="N12" s="14" t="str">
        <f>HYPERLINK("mailto:troy.huffman@state.co.us","Troy Huffman")</f>
        <v>Troy Huffman</v>
      </c>
      <c r="O12" s="15" t="str">
        <f>HYPERLINK("mailto:Mario.Seminara@fda.hhs.gov","Mario Seminara")</f>
        <v>Mario Seminara</v>
      </c>
    </row>
    <row r="13" spans="1:15" ht="45" x14ac:dyDescent="0.25">
      <c r="A13" s="11" t="str">
        <f>HYPERLINK("http://www.cdphe.state.co.us/","Colorado Department of Public Health and Environment")</f>
        <v>Colorado Department of Public Health and Environment</v>
      </c>
      <c r="B13" s="12">
        <v>38982</v>
      </c>
      <c r="C13" s="13">
        <v>2</v>
      </c>
      <c r="D13" s="12">
        <v>42263</v>
      </c>
      <c r="E13" s="13"/>
      <c r="F13" s="13" t="s">
        <v>180</v>
      </c>
      <c r="G13" s="13" t="s">
        <v>180</v>
      </c>
      <c r="H13" s="13"/>
      <c r="I13" s="13"/>
      <c r="J13" s="13"/>
      <c r="K13" s="13" t="s">
        <v>181</v>
      </c>
      <c r="L13" s="13" t="s">
        <v>182</v>
      </c>
      <c r="M13" s="13" t="s">
        <v>183</v>
      </c>
      <c r="N13" s="14" t="str">
        <f>HYPERLINK("mailto:troy.huffman@state.co.us","Troy Huffman")</f>
        <v>Troy Huffman</v>
      </c>
      <c r="O13" s="15" t="str">
        <f>HYPERLINK("mailto:Mario.Seminara@fda.hhs.gov","Mario Seminara")</f>
        <v>Mario Seminara</v>
      </c>
    </row>
    <row r="14" spans="1:15" ht="45" x14ac:dyDescent="0.25">
      <c r="A14" s="6" t="str">
        <f>HYPERLINK("http://www.ehs.colorado.edu","Colorado State University Environmental Health Services")</f>
        <v>Colorado State University Environmental Health Services</v>
      </c>
      <c r="B14" s="7">
        <v>42696</v>
      </c>
      <c r="C14" s="8">
        <v>1</v>
      </c>
      <c r="D14" s="7">
        <v>42782</v>
      </c>
      <c r="E14" s="8"/>
      <c r="F14" s="8"/>
      <c r="G14" s="8"/>
      <c r="H14" s="8"/>
      <c r="I14" s="8"/>
      <c r="J14" s="8"/>
      <c r="K14" s="8"/>
      <c r="L14" s="8"/>
      <c r="M14" s="8"/>
      <c r="N14" s="9" t="str">
        <f>HYPERLINK("mailto:lharley@bsu.ed","Lynetta S. Harley")</f>
        <v>Lynetta S. Harley</v>
      </c>
      <c r="O14" s="10" t="str">
        <f>HYPERLINK("mailto:Mario.Seminara@fda.hhs.gov","Mario Seminara")</f>
        <v>Mario Seminara</v>
      </c>
    </row>
    <row r="15" spans="1:15" ht="30" x14ac:dyDescent="0.25">
      <c r="A15" s="29" t="s">
        <v>184</v>
      </c>
      <c r="B15" s="12">
        <v>41885</v>
      </c>
      <c r="C15" s="13">
        <v>1</v>
      </c>
      <c r="D15" s="12">
        <v>42109</v>
      </c>
      <c r="E15" s="13"/>
      <c r="F15" s="13"/>
      <c r="G15" s="13"/>
      <c r="H15" s="13"/>
      <c r="I15" s="13"/>
      <c r="J15" s="13"/>
      <c r="K15" s="13"/>
      <c r="L15" s="13"/>
      <c r="M15" s="13"/>
      <c r="N15" s="14" t="str">
        <f>HYPERLINK("mailto:knordstrom@deltacounty.com","Kenneth Nordstrom")</f>
        <v>Kenneth Nordstrom</v>
      </c>
      <c r="O15" s="15" t="str">
        <f>HYPERLINK("mailto:Mario.Seminara@fda.hhs.gov","Mario Seminara")</f>
        <v>Mario Seminara</v>
      </c>
    </row>
    <row r="16" spans="1:15" ht="60" x14ac:dyDescent="0.25">
      <c r="A16" s="6" t="str">
        <f>HYPERLINK("http://www.denvergov.org/PHI/HomePage/tabid/391966/Default.aspx","Denver Department of Environmental Health/Public Health Inspection")</f>
        <v>Denver Department of Environmental Health/Public Health Inspection</v>
      </c>
      <c r="B16" s="7">
        <v>38063</v>
      </c>
      <c r="C16" s="8">
        <v>1</v>
      </c>
      <c r="D16" s="7">
        <v>38590</v>
      </c>
      <c r="E16" s="8"/>
      <c r="F16" s="8"/>
      <c r="G16" s="8" t="s">
        <v>185</v>
      </c>
      <c r="H16" s="8"/>
      <c r="I16" s="8" t="s">
        <v>186</v>
      </c>
      <c r="J16" s="8" t="s">
        <v>187</v>
      </c>
      <c r="K16" s="8" t="s">
        <v>186</v>
      </c>
      <c r="L16" s="8"/>
      <c r="M16" s="8"/>
      <c r="N16" s="9" t="str">
        <f>HYPERLINK("mailto:danica.lee@denvergov.org","Danica Lee")</f>
        <v>Danica Lee</v>
      </c>
      <c r="O16" s="10" t="str">
        <f>HYPERLINK("mailto:Mario.Seminara@fda.hhs.gov","Mario Seminara")</f>
        <v>Mario Seminara</v>
      </c>
    </row>
    <row r="17" spans="1:15" ht="30" x14ac:dyDescent="0.25">
      <c r="A17" s="29" t="s">
        <v>188</v>
      </c>
      <c r="B17" s="12">
        <v>42172</v>
      </c>
      <c r="C17" s="13">
        <v>1</v>
      </c>
      <c r="D17" s="12">
        <v>42527</v>
      </c>
      <c r="E17" s="13"/>
      <c r="F17" s="13"/>
      <c r="G17" s="13"/>
      <c r="H17" s="13"/>
      <c r="I17" s="13"/>
      <c r="J17" s="13"/>
      <c r="K17" s="13"/>
      <c r="L17" s="13"/>
      <c r="M17" s="13"/>
      <c r="N17" s="14" t="str">
        <f>HYPERLINK("mailto:claire.lewandowski@eagleconty.us","Claire Lewandowski")</f>
        <v>Claire Lewandowski</v>
      </c>
      <c r="O17" s="15" t="str">
        <f>HYPERLINK("mailto:Mario.Seminara@fda.hhs.gov","Mario Seminara")</f>
        <v>Mario Seminara</v>
      </c>
    </row>
    <row r="18" spans="1:15" ht="45" x14ac:dyDescent="0.25">
      <c r="A18" s="6" t="str">
        <f>HYPERLINK("http://www.elpasocountyhealth.org/","El Paso County Department of Health and Environmental Health Services")</f>
        <v>El Paso County Department of Health and Environmental Health Services</v>
      </c>
      <c r="B18" s="7">
        <v>37713</v>
      </c>
      <c r="C18" s="8">
        <v>1</v>
      </c>
      <c r="D18" s="7">
        <v>38379</v>
      </c>
      <c r="E18" s="8"/>
      <c r="F18" s="8" t="s">
        <v>189</v>
      </c>
      <c r="G18" s="8"/>
      <c r="H18" s="8"/>
      <c r="I18" s="8"/>
      <c r="J18" s="8" t="s">
        <v>190</v>
      </c>
      <c r="K18" s="8" t="s">
        <v>191</v>
      </c>
      <c r="L18" s="8"/>
      <c r="M18" s="8"/>
      <c r="N18" s="9" t="str">
        <f>HYPERLINK("mailto:leegriffen@elpasoco.com","Lee Griffen")</f>
        <v>Lee Griffen</v>
      </c>
      <c r="O18" s="10" t="str">
        <f>HYPERLINK("mailto:Mario.Seminara@fda.hhs.gov","Mario Seminara")</f>
        <v>Mario Seminara</v>
      </c>
    </row>
    <row r="19" spans="1:15" ht="45" x14ac:dyDescent="0.25">
      <c r="A19" s="6" t="str">
        <f>HYPERLINK("http://www.elpasocountyhealth.org/","El Paso County Department of Health and Environmental Health Services")</f>
        <v>El Paso County Department of Health and Environmental Health Services</v>
      </c>
      <c r="B19" s="7">
        <v>37713</v>
      </c>
      <c r="C19" s="8">
        <v>2</v>
      </c>
      <c r="D19" s="7">
        <v>42321</v>
      </c>
      <c r="E19" s="8"/>
      <c r="F19" s="8"/>
      <c r="G19" s="8" t="s">
        <v>192</v>
      </c>
      <c r="H19" s="8" t="s">
        <v>193</v>
      </c>
      <c r="I19" s="8"/>
      <c r="J19" s="8" t="s">
        <v>194</v>
      </c>
      <c r="K19" s="8"/>
      <c r="L19" s="8"/>
      <c r="M19" s="8"/>
      <c r="N19" s="9" t="str">
        <f>HYPERLINK("mailto:leegriffen@elpasoco.com","Lee Griffen")</f>
        <v>Lee Griffen</v>
      </c>
      <c r="O19" s="10" t="str">
        <f>HYPERLINK("mailto:Mario.Seminara@fda.hhs.gov","Mario Seminara")</f>
        <v>Mario Seminara</v>
      </c>
    </row>
    <row r="20" spans="1:15" ht="30" x14ac:dyDescent="0.25">
      <c r="A20" s="11" t="str">
        <f>HYPERLINK("http://www.publichealthathens.com/","Elbert County Health and Environment Department")</f>
        <v>Elbert County Health and Environment Department</v>
      </c>
      <c r="B20" s="12">
        <v>41389</v>
      </c>
      <c r="C20" s="13">
        <v>1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4" t="str">
        <f>HYPERLINK("mailto:stacey.rinehart@elbertcounty-co.gov","Stacey Rinehart")</f>
        <v>Stacey Rinehart</v>
      </c>
      <c r="O20" s="15" t="str">
        <f>HYPERLINK("mailto:Mario.Seminara@fda.hhs.gov","Mario Seminara")</f>
        <v>Mario Seminara</v>
      </c>
    </row>
    <row r="21" spans="1:15" ht="30" x14ac:dyDescent="0.25">
      <c r="A21" s="6" t="str">
        <f>HYPERLINK("http://www.fremontco.com/building/environmentalhealth.shtml","Fremont County Environmental Health")</f>
        <v>Fremont County Environmental Health</v>
      </c>
      <c r="B21" s="7">
        <v>41817</v>
      </c>
      <c r="C21" s="8">
        <v>1</v>
      </c>
      <c r="D21" s="7">
        <v>42318</v>
      </c>
      <c r="E21" s="8"/>
      <c r="F21" s="8"/>
      <c r="G21" s="8"/>
      <c r="H21" s="8"/>
      <c r="I21" s="8"/>
      <c r="J21" s="8"/>
      <c r="K21" s="8"/>
      <c r="L21" s="8"/>
      <c r="M21" s="8"/>
      <c r="N21" s="9" t="str">
        <f>HYPERLINK("mailto:sid.darden@fremontco.com","Sidney Darden")</f>
        <v>Sidney Darden</v>
      </c>
      <c r="O21" s="10" t="str">
        <f>HYPERLINK("mailto:Mario.Seminara@fda.hhs.gov","Mario Seminara")</f>
        <v>Mario Seminara</v>
      </c>
    </row>
    <row r="22" spans="1:15" ht="30" x14ac:dyDescent="0.25">
      <c r="A22" s="11" t="str">
        <f>HYPERLINK("www.garfield-county.com/environmental-health","Garfield County")</f>
        <v>Garfield County</v>
      </c>
      <c r="B22" s="12">
        <v>43411</v>
      </c>
      <c r="C22" s="13">
        <v>1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4" t="str">
        <f>HYPERLINK("mailto:ntsevdos@garfield-county.com","Natalie Tsevdos")</f>
        <v>Natalie Tsevdos</v>
      </c>
      <c r="O22" s="15" t="str">
        <f>HYPERLINK("mailto:Mario.Seminara@fda.hhs.gov","Mario Seminara")</f>
        <v>Mario Seminara</v>
      </c>
    </row>
    <row r="23" spans="1:15" ht="30" x14ac:dyDescent="0.25">
      <c r="A23" s="6" t="str">
        <f>HYPERLINK("http://www.co.gilpin.co.us/Public%20Health/homedefault.htm","Gilpin County Public Health")</f>
        <v>Gilpin County Public Health</v>
      </c>
      <c r="B23" s="7">
        <v>42431</v>
      </c>
      <c r="C23" s="8">
        <v>1</v>
      </c>
      <c r="D23" s="7">
        <v>42705</v>
      </c>
      <c r="E23" s="8"/>
      <c r="F23" s="8"/>
      <c r="G23" s="8" t="s">
        <v>195</v>
      </c>
      <c r="H23" s="8"/>
      <c r="I23" s="8"/>
      <c r="J23" s="8" t="s">
        <v>195</v>
      </c>
      <c r="K23" s="8" t="s">
        <v>195</v>
      </c>
      <c r="L23" s="8" t="s">
        <v>195</v>
      </c>
      <c r="M23" s="8"/>
      <c r="N23" s="9" t="str">
        <f>HYPERLINK("mailto:balbrech@jeffco.us","Bonnie Albrecht")</f>
        <v>Bonnie Albrecht</v>
      </c>
      <c r="O23" s="10" t="str">
        <f>HYPERLINK("mailto:Mario.Seminara@fda.hhs.gov","Mario Seminara")</f>
        <v>Mario Seminara</v>
      </c>
    </row>
    <row r="24" spans="1:15" ht="30" x14ac:dyDescent="0.25">
      <c r="A24" s="11" t="str">
        <f>HYPERLINK("http://co-grandcounty.civicplus.com/","Grand County")</f>
        <v>Grand County</v>
      </c>
      <c r="B24" s="12">
        <v>43377</v>
      </c>
      <c r="C24" s="13">
        <v>1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5" t="str">
        <f>HYPERLINK("mailto:Mario.Seminara@fda.hhs.gov","Mario Seminara")</f>
        <v>Mario Seminara</v>
      </c>
    </row>
    <row r="25" spans="1:15" ht="45" x14ac:dyDescent="0.25">
      <c r="A25" s="28" t="s">
        <v>196</v>
      </c>
      <c r="B25" s="7">
        <v>42692</v>
      </c>
      <c r="C25" s="8">
        <v>1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9" t="str">
        <f>HYPERLINK("mailto:jchavez@gunnisoncounty.org","Jennifer Chavez")</f>
        <v>Jennifer Chavez</v>
      </c>
      <c r="O25" s="10" t="str">
        <f>HYPERLINK("mailto:Mario.Seminara@fda.hhs.gov","Mario Seminara")</f>
        <v>Mario Seminara</v>
      </c>
    </row>
    <row r="26" spans="1:15" ht="45" x14ac:dyDescent="0.25">
      <c r="A26" s="28" t="s">
        <v>196</v>
      </c>
      <c r="B26" s="7">
        <v>42692</v>
      </c>
      <c r="C26" s="8">
        <v>2</v>
      </c>
      <c r="D26" s="7">
        <v>42916</v>
      </c>
      <c r="E26" s="8"/>
      <c r="F26" s="8"/>
      <c r="G26" s="8"/>
      <c r="H26" s="8"/>
      <c r="I26" s="8"/>
      <c r="J26" s="8"/>
      <c r="K26" s="8"/>
      <c r="L26" s="8"/>
      <c r="M26" s="8"/>
      <c r="N26" s="9" t="str">
        <f>HYPERLINK("mailto:jchavez@gunnisoncounty.org","Jennifer Chavez")</f>
        <v>Jennifer Chavez</v>
      </c>
      <c r="O26" s="10" t="str">
        <f>HYPERLINK("mailto:Mario.Seminara@fda.hhs.gov","Mario Seminara")</f>
        <v>Mario Seminara</v>
      </c>
    </row>
    <row r="27" spans="1:15" ht="30" x14ac:dyDescent="0.25">
      <c r="A27" s="11" t="str">
        <f>HYPERLINK("http://www.jeffco.us/public-health/","Jefferson County Public Health")</f>
        <v>Jefferson County Public Health</v>
      </c>
      <c r="B27" s="12">
        <v>40015</v>
      </c>
      <c r="C27" s="13">
        <v>1</v>
      </c>
      <c r="D27" s="12">
        <v>40127</v>
      </c>
      <c r="E27" s="13"/>
      <c r="F27" s="13"/>
      <c r="G27" s="13"/>
      <c r="H27" s="13"/>
      <c r="I27" s="13" t="s">
        <v>197</v>
      </c>
      <c r="J27" s="13"/>
      <c r="K27" s="13" t="s">
        <v>198</v>
      </c>
      <c r="L27" s="13"/>
      <c r="M27" s="13"/>
      <c r="N27" s="14" t="str">
        <f>HYPERLINK("mailto:copp@jeffco.us","Carla Opp")</f>
        <v>Carla Opp</v>
      </c>
      <c r="O27" s="15" t="str">
        <f>HYPERLINK("mailto:Mario.Seminara@fda.hhs.gov","Mario Seminara")</f>
        <v>Mario Seminara</v>
      </c>
    </row>
    <row r="28" spans="1:15" ht="30" x14ac:dyDescent="0.25">
      <c r="A28" s="11" t="str">
        <f>HYPERLINK("http://www.jeffco.us/public-health/","Jefferson County Public Health")</f>
        <v>Jefferson County Public Health</v>
      </c>
      <c r="B28" s="12">
        <v>40015</v>
      </c>
      <c r="C28" s="13">
        <v>2</v>
      </c>
      <c r="D28" s="12">
        <v>41772</v>
      </c>
      <c r="E28" s="13"/>
      <c r="F28" s="13" t="s">
        <v>199</v>
      </c>
      <c r="G28" s="13"/>
      <c r="H28" s="13" t="s">
        <v>200</v>
      </c>
      <c r="I28" s="13" t="s">
        <v>201</v>
      </c>
      <c r="J28" s="13" t="s">
        <v>202</v>
      </c>
      <c r="K28" s="13" t="s">
        <v>201</v>
      </c>
      <c r="L28" s="13"/>
      <c r="M28" s="13"/>
      <c r="N28" s="14" t="str">
        <f>HYPERLINK("mailto:copp@jeffco.us","Carla Opp")</f>
        <v>Carla Opp</v>
      </c>
      <c r="O28" s="15" t="str">
        <f>HYPERLINK("mailto:Mario.Seminara@fda.hhs.gov","Mario Seminara")</f>
        <v>Mario Seminara</v>
      </c>
    </row>
    <row r="29" spans="1:15" ht="30" x14ac:dyDescent="0.25">
      <c r="A29" s="6" t="str">
        <f>HYPERLINK("http://www.kitcarsoncounty.org/Health_and_Human_Services.html","Kit Carson County Health and Human Service")</f>
        <v>Kit Carson County Health and Human Service</v>
      </c>
      <c r="B29" s="7">
        <v>41781</v>
      </c>
      <c r="C29" s="8">
        <v>1</v>
      </c>
      <c r="D29" s="7">
        <v>41781</v>
      </c>
      <c r="E29" s="8"/>
      <c r="F29" s="8"/>
      <c r="G29" s="8"/>
      <c r="H29" s="8"/>
      <c r="I29" s="8"/>
      <c r="J29" s="8"/>
      <c r="K29" s="8"/>
      <c r="L29" s="8"/>
      <c r="M29" s="8"/>
      <c r="N29" s="8" t="s">
        <v>203</v>
      </c>
      <c r="O29" s="10" t="str">
        <f>HYPERLINK("mailto:Mario.Seminara@fda.hhs.gov","Mario Seminara")</f>
        <v>Mario Seminara</v>
      </c>
    </row>
    <row r="30" spans="1:15" ht="30" x14ac:dyDescent="0.25">
      <c r="A30" s="11" t="str">
        <f>HYPERLINK("http://www.lakecountyco.com/health/","Lake County Public Health Agency")</f>
        <v>Lake County Public Health Agency</v>
      </c>
      <c r="B30" s="12">
        <v>40751</v>
      </c>
      <c r="C30" s="13">
        <v>1</v>
      </c>
      <c r="D30" s="12">
        <v>41010</v>
      </c>
      <c r="E30" s="13"/>
      <c r="F30" s="13"/>
      <c r="G30" s="13"/>
      <c r="H30" s="13"/>
      <c r="I30" s="13"/>
      <c r="J30" s="13"/>
      <c r="K30" s="13" t="s">
        <v>204</v>
      </c>
      <c r="L30" s="13"/>
      <c r="M30" s="13"/>
      <c r="N30" s="14" t="str">
        <f>HYPERLINK("mailto:jlittlepage@co.lake.co.us","Jackie Littlepage")</f>
        <v>Jackie Littlepage</v>
      </c>
      <c r="O30" s="15" t="str">
        <f>HYPERLINK("mailto:Mario.Seminara@fda.hhs.gov","Mario Seminara")</f>
        <v>Mario Seminara</v>
      </c>
    </row>
    <row r="31" spans="1:15" ht="30" x14ac:dyDescent="0.25">
      <c r="A31" s="6" t="str">
        <f>HYPERLINK("http://www.larimer.org/health/","Larimer County Department of Health and Environment")</f>
        <v>Larimer County Department of Health and Environment</v>
      </c>
      <c r="B31" s="7">
        <v>41320</v>
      </c>
      <c r="C31" s="8">
        <v>1</v>
      </c>
      <c r="D31" s="7">
        <v>42506</v>
      </c>
      <c r="E31" s="8"/>
      <c r="F31" s="8" t="s">
        <v>205</v>
      </c>
      <c r="G31" s="8" t="s">
        <v>205</v>
      </c>
      <c r="H31" s="8"/>
      <c r="I31" s="8"/>
      <c r="J31" s="8"/>
      <c r="K31" s="8" t="s">
        <v>206</v>
      </c>
      <c r="L31" s="8"/>
      <c r="M31" s="8"/>
      <c r="N31" s="9" t="str">
        <f>HYPERLINK("mailto:devoreje@co.larimer.co.us","Jim Devore")</f>
        <v>Jim Devore</v>
      </c>
      <c r="O31" s="10" t="str">
        <f>HYPERLINK("mailto:Mario.Seminara@fda.hhs.gov","Mario Seminara")</f>
        <v>Mario Seminara</v>
      </c>
    </row>
    <row r="32" spans="1:15" ht="45" x14ac:dyDescent="0.25">
      <c r="A32" s="11" t="str">
        <f>HYPERLINK("http://la-h-health.org/index.php/services/environmental-health.html","Las Animas-Huerfano Counties District Health Department")</f>
        <v>Las Animas-Huerfano Counties District Health Department</v>
      </c>
      <c r="B32" s="12">
        <v>41394</v>
      </c>
      <c r="C32" s="13">
        <v>1</v>
      </c>
      <c r="D32" s="12">
        <v>42381</v>
      </c>
      <c r="E32" s="13"/>
      <c r="F32" s="13" t="s">
        <v>207</v>
      </c>
      <c r="G32" s="13"/>
      <c r="H32" s="13"/>
      <c r="I32" s="13"/>
      <c r="J32" s="13"/>
      <c r="K32" s="13"/>
      <c r="L32" s="13"/>
      <c r="M32" s="13"/>
      <c r="N32" s="14" t="str">
        <f>HYPERLINK("mailto:jmartinez@la-h-health.org","John Martinez")</f>
        <v>John Martinez</v>
      </c>
      <c r="O32" s="15" t="str">
        <f>HYPERLINK("mailto:Mario.Seminara@fda.hhs.gov","Mario Seminara")</f>
        <v>Mario Seminara</v>
      </c>
    </row>
    <row r="33" spans="1:15" ht="30" x14ac:dyDescent="0.25">
      <c r="A33" s="6" t="str">
        <f>HYPERLINK("http://www.health.mesacounty.us/","Mesa County Health Department")</f>
        <v>Mesa County Health Department</v>
      </c>
      <c r="B33" s="7">
        <v>40763</v>
      </c>
      <c r="C33" s="8">
        <v>1</v>
      </c>
      <c r="D33" s="7">
        <v>41067</v>
      </c>
      <c r="E33" s="8"/>
      <c r="F33" s="8"/>
      <c r="G33" s="8"/>
      <c r="H33" s="8"/>
      <c r="I33" s="8"/>
      <c r="J33" s="8"/>
      <c r="K33" s="8" t="s">
        <v>208</v>
      </c>
      <c r="L33" s="8"/>
      <c r="M33" s="8"/>
      <c r="N33" s="9" t="str">
        <f>HYPERLINK("mailto:Monique.Mull@mesacounty.us","Monique Mull")</f>
        <v>Monique Mull</v>
      </c>
      <c r="O33" s="10" t="str">
        <f>HYPERLINK("mailto:Mario.Seminara@fda.hhs.gov","Mario Seminara")</f>
        <v>Mario Seminara</v>
      </c>
    </row>
    <row r="34" spans="1:15" ht="30" x14ac:dyDescent="0.25">
      <c r="A34" s="6" t="str">
        <f>HYPERLINK("http://www.health.mesacounty.us/","Mesa County Health Department")</f>
        <v>Mesa County Health Department</v>
      </c>
      <c r="B34" s="7">
        <v>40763</v>
      </c>
      <c r="C34" s="8">
        <v>2</v>
      </c>
      <c r="D34" s="7">
        <v>42985</v>
      </c>
      <c r="E34" s="8"/>
      <c r="F34" s="8" t="s">
        <v>209</v>
      </c>
      <c r="G34" s="8"/>
      <c r="H34" s="8"/>
      <c r="I34" s="8" t="s">
        <v>210</v>
      </c>
      <c r="J34" s="8"/>
      <c r="K34" s="8" t="s">
        <v>211</v>
      </c>
      <c r="L34" s="8"/>
      <c r="M34" s="8" t="s">
        <v>212</v>
      </c>
      <c r="N34" s="9" t="str">
        <f>HYPERLINK("mailto:Monique.Mull@mesacounty.us","Monique Mull")</f>
        <v>Monique Mull</v>
      </c>
      <c r="O34" s="10" t="str">
        <f>HYPERLINK("mailto:Mario.Seminara@fda.hhs.gov","Mario Seminara")</f>
        <v>Mario Seminara</v>
      </c>
    </row>
    <row r="35" spans="1:15" ht="30" x14ac:dyDescent="0.25">
      <c r="A35" s="11" t="str">
        <f>HYPERLINK("http://www.co.montezuma.co.us/newsite/septichome.html","Montezuma County")</f>
        <v>Montezuma County</v>
      </c>
      <c r="B35" s="12">
        <v>41394</v>
      </c>
      <c r="C35" s="13">
        <v>1</v>
      </c>
      <c r="D35" s="12">
        <v>41814</v>
      </c>
      <c r="E35" s="13"/>
      <c r="F35" s="13"/>
      <c r="G35" s="13"/>
      <c r="H35" s="13"/>
      <c r="I35" s="13"/>
      <c r="J35" s="13"/>
      <c r="K35" s="13"/>
      <c r="L35" s="13"/>
      <c r="M35" s="13"/>
      <c r="N35" s="14" t="str">
        <f>HYPERLINK("mailto:mmathews@co.montezuma.co.us","Melissa Mathews")</f>
        <v>Melissa Mathews</v>
      </c>
      <c r="O35" s="15" t="str">
        <f>HYPERLINK("mailto:Mario.Seminara@fda.hhs.gov","Mario Seminara")</f>
        <v>Mario Seminara</v>
      </c>
    </row>
    <row r="36" spans="1:15" ht="30" x14ac:dyDescent="0.25">
      <c r="A36" s="11" t="str">
        <f>HYPERLINK("http://www.co.montezuma.co.us/newsite/septichome.html","Montezuma County")</f>
        <v>Montezuma County</v>
      </c>
      <c r="B36" s="12">
        <v>41394</v>
      </c>
      <c r="C36" s="13">
        <v>2</v>
      </c>
      <c r="D36" s="12">
        <v>43454</v>
      </c>
      <c r="E36" s="13"/>
      <c r="F36" s="13" t="s">
        <v>213</v>
      </c>
      <c r="G36" s="13" t="s">
        <v>213</v>
      </c>
      <c r="H36" s="13"/>
      <c r="I36" s="13"/>
      <c r="J36" s="13"/>
      <c r="K36" s="13"/>
      <c r="L36" s="13"/>
      <c r="M36" s="13"/>
      <c r="N36" s="14" t="str">
        <f>HYPERLINK("mailto:mmathews@co.montezuma.co.us","Melissa Mathews")</f>
        <v>Melissa Mathews</v>
      </c>
      <c r="O36" s="15" t="str">
        <f>HYPERLINK("mailto:Mario.Seminara@fda.hhs.gov","Mario Seminara")</f>
        <v>Mario Seminara</v>
      </c>
    </row>
    <row r="37" spans="1:15" ht="45" x14ac:dyDescent="0.25">
      <c r="A37" s="6" t="str">
        <f>HYPERLINK("http://co.montrose.co.us/","Montrose County Department of Health and Human Services")</f>
        <v>Montrose County Department of Health and Human Services</v>
      </c>
      <c r="B37" s="7">
        <v>41344</v>
      </c>
      <c r="C37" s="8">
        <v>1</v>
      </c>
      <c r="D37" s="8"/>
      <c r="E37" s="8"/>
      <c r="F37" s="8"/>
      <c r="G37" s="8"/>
      <c r="H37" s="8"/>
      <c r="I37" s="8"/>
      <c r="J37" s="8"/>
      <c r="K37" s="8"/>
      <c r="L37" s="8"/>
      <c r="M37" s="8"/>
      <c r="N37" s="9" t="str">
        <f>HYPERLINK("mailto:jaustin@montrosecounty.net","Jim Austin")</f>
        <v>Jim Austin</v>
      </c>
      <c r="O37" s="10" t="str">
        <f>HYPERLINK("mailto:Mario.Seminara@fda.hhs.gov","Mario Seminara")</f>
        <v>Mario Seminara</v>
      </c>
    </row>
    <row r="38" spans="1:15" ht="30" x14ac:dyDescent="0.25">
      <c r="A38" s="11" t="str">
        <f>HYPERLINK("http://www.nchd.org/","Northeast Colorado Health Department")</f>
        <v>Northeast Colorado Health Department</v>
      </c>
      <c r="B38" s="12">
        <v>40248</v>
      </c>
      <c r="C38" s="13">
        <v>1</v>
      </c>
      <c r="D38" s="12">
        <v>40464</v>
      </c>
      <c r="E38" s="13"/>
      <c r="F38" s="13" t="s">
        <v>214</v>
      </c>
      <c r="G38" s="13"/>
      <c r="H38" s="13"/>
      <c r="I38" s="13"/>
      <c r="J38" s="13"/>
      <c r="K38" s="13" t="s">
        <v>215</v>
      </c>
      <c r="L38" s="13"/>
      <c r="M38" s="13"/>
      <c r="N38" s="13"/>
      <c r="O38" s="15" t="str">
        <f>HYPERLINK("mailto:Mario.Seminara@fda.hhs.gov","Mario Seminara")</f>
        <v>Mario Seminara</v>
      </c>
    </row>
    <row r="39" spans="1:15" ht="30" x14ac:dyDescent="0.25">
      <c r="A39" s="11" t="str">
        <f>HYPERLINK("http://www.nchd.org/","Northeast Colorado Health Department")</f>
        <v>Northeast Colorado Health Department</v>
      </c>
      <c r="B39" s="12">
        <v>40248</v>
      </c>
      <c r="C39" s="13">
        <v>2</v>
      </c>
      <c r="D39" s="12">
        <v>42985</v>
      </c>
      <c r="E39" s="13"/>
      <c r="F39" s="13" t="s">
        <v>216</v>
      </c>
      <c r="G39" s="13" t="s">
        <v>217</v>
      </c>
      <c r="H39" s="13"/>
      <c r="I39" s="13"/>
      <c r="J39" s="13"/>
      <c r="K39" s="13" t="s">
        <v>216</v>
      </c>
      <c r="L39" s="13"/>
      <c r="M39" s="13"/>
      <c r="N39" s="14" t="str">
        <f>HYPERLINK("mailto:heatherc@nchd.org","Heather Coin")</f>
        <v>Heather Coin</v>
      </c>
      <c r="O39" s="15" t="str">
        <f>HYPERLINK("mailto:Mario.Seminara@fda.hhs.gov","Mario Seminara")</f>
        <v>Mario Seminara</v>
      </c>
    </row>
    <row r="40" spans="1:15" ht="30" x14ac:dyDescent="0.25">
      <c r="A40" s="28" t="s">
        <v>218</v>
      </c>
      <c r="B40" s="7">
        <v>42145</v>
      </c>
      <c r="C40" s="8">
        <v>1</v>
      </c>
      <c r="D40" s="7">
        <v>42338</v>
      </c>
      <c r="E40" s="8"/>
      <c r="F40" s="8" t="s">
        <v>219</v>
      </c>
      <c r="G40" s="8" t="s">
        <v>219</v>
      </c>
      <c r="H40" s="8"/>
      <c r="I40" s="8"/>
      <c r="J40" s="8"/>
      <c r="K40" s="8"/>
      <c r="L40" s="8"/>
      <c r="M40" s="8"/>
      <c r="N40" s="9" t="str">
        <f>HYPERLINK("mailto:ehdir@oterogov.org","Su Korbitz")</f>
        <v>Su Korbitz</v>
      </c>
      <c r="O40" s="10" t="str">
        <f>HYPERLINK("mailto:Mario.Seminara@fda.hhs.gov","Mario Seminara")</f>
        <v>Mario Seminara</v>
      </c>
    </row>
    <row r="41" spans="1:15" ht="30" x14ac:dyDescent="0.25">
      <c r="A41" s="11" t="str">
        <f>HYPERLINK("http://www.aspenpitkin.com/","Pitkin County Health Department")</f>
        <v>Pitkin County Health Department</v>
      </c>
      <c r="B41" s="12">
        <v>40763</v>
      </c>
      <c r="C41" s="13">
        <v>1</v>
      </c>
      <c r="D41" s="12">
        <v>40956</v>
      </c>
      <c r="E41" s="13"/>
      <c r="F41" s="13"/>
      <c r="G41" s="13"/>
      <c r="H41" s="13"/>
      <c r="I41" s="13"/>
      <c r="J41" s="13"/>
      <c r="K41" s="13"/>
      <c r="L41" s="13"/>
      <c r="M41" s="13"/>
      <c r="N41" s="14" t="str">
        <f>HYPERLINK("mailto:bryan.daugherty@co.pitkin.co.us","Bryan Daugherty")</f>
        <v>Bryan Daugherty</v>
      </c>
      <c r="O41" s="15" t="str">
        <f>HYPERLINK("mailto:Mario.Seminara@fda.hhs.gov","Mario Seminara")</f>
        <v>Mario Seminara</v>
      </c>
    </row>
    <row r="42" spans="1:15" ht="30" x14ac:dyDescent="0.25">
      <c r="A42" s="11" t="str">
        <f>HYPERLINK("http://www.aspenpitkin.com/","Pitkin County Health Department")</f>
        <v>Pitkin County Health Department</v>
      </c>
      <c r="B42" s="12">
        <v>40763</v>
      </c>
      <c r="C42" s="13">
        <v>2</v>
      </c>
      <c r="D42" s="12">
        <v>43413</v>
      </c>
      <c r="E42" s="13"/>
      <c r="F42" s="13"/>
      <c r="G42" s="13"/>
      <c r="H42" s="13"/>
      <c r="I42" s="13"/>
      <c r="J42" s="13"/>
      <c r="K42" s="13"/>
      <c r="L42" s="13"/>
      <c r="M42" s="13"/>
      <c r="N42" s="14" t="str">
        <f>HYPERLINK("mailto:bryan.daugherty@co.pitkin.co.us","Bryan Daugherty")</f>
        <v>Bryan Daugherty</v>
      </c>
      <c r="O42" s="15" t="str">
        <f>HYPERLINK("mailto:Mario.Seminara@fda.hhs.gov","Mario Seminara")</f>
        <v>Mario Seminara</v>
      </c>
    </row>
    <row r="43" spans="1:15" ht="30" x14ac:dyDescent="0.25">
      <c r="A43" s="6" t="str">
        <f>HYPERLINK("http://www.prowerscounty.net/","Prowers County Public Health and Environment")</f>
        <v>Prowers County Public Health and Environment</v>
      </c>
      <c r="B43" s="7">
        <v>41379</v>
      </c>
      <c r="C43" s="8">
        <v>1</v>
      </c>
      <c r="D43" s="7">
        <v>41799</v>
      </c>
      <c r="E43" s="8"/>
      <c r="F43" s="8" t="s">
        <v>220</v>
      </c>
      <c r="G43" s="8"/>
      <c r="H43" s="8"/>
      <c r="I43" s="8" t="s">
        <v>221</v>
      </c>
      <c r="J43" s="8"/>
      <c r="K43" s="8"/>
      <c r="L43" s="8"/>
      <c r="M43" s="8"/>
      <c r="N43" s="9" t="str">
        <f>HYPERLINK("mailto:sodette@prowerscounty.net","Seth Odette")</f>
        <v>Seth Odette</v>
      </c>
      <c r="O43" s="10" t="str">
        <f>HYPERLINK("mailto:Mario.Seminara@fda.hhs.gov","Mario Seminara")</f>
        <v>Mario Seminara</v>
      </c>
    </row>
    <row r="44" spans="1:15" ht="30" x14ac:dyDescent="0.25">
      <c r="A44" s="11" t="str">
        <f>HYPERLINK("http://county.pueblo.org/government/county/department/city-county-health-department/environmental-health","Pueblo City-County Health Department")</f>
        <v>Pueblo City-County Health Department</v>
      </c>
      <c r="B44" s="12">
        <v>40267</v>
      </c>
      <c r="C44" s="13">
        <v>1</v>
      </c>
      <c r="D44" s="12">
        <v>40609</v>
      </c>
      <c r="E44" s="13"/>
      <c r="F44" s="13" t="s">
        <v>222</v>
      </c>
      <c r="G44" s="13" t="s">
        <v>223</v>
      </c>
      <c r="H44" s="13"/>
      <c r="I44" s="13"/>
      <c r="J44" s="13" t="s">
        <v>190</v>
      </c>
      <c r="K44" s="13" t="s">
        <v>224</v>
      </c>
      <c r="L44" s="13"/>
      <c r="M44" s="13" t="s">
        <v>225</v>
      </c>
      <c r="N44" s="14" t="str">
        <f>HYPERLINK("mailto:vicki.carlton@co.pueblo.co.us","Vicki Carlton")</f>
        <v>Vicki Carlton</v>
      </c>
      <c r="O44" s="15" t="str">
        <f>HYPERLINK("mailto:Mario.Seminara@fda.hhs.gov","Mario Seminara")</f>
        <v>Mario Seminara</v>
      </c>
    </row>
    <row r="45" spans="1:15" ht="30" x14ac:dyDescent="0.25">
      <c r="A45" s="11" t="str">
        <f>HYPERLINK("http://county.pueblo.org/government/county/department/city-county-health-department/environmental-health","Pueblo City-County Health Department")</f>
        <v>Pueblo City-County Health Department</v>
      </c>
      <c r="B45" s="12">
        <v>40267</v>
      </c>
      <c r="C45" s="13">
        <v>2</v>
      </c>
      <c r="D45" s="12">
        <v>42839</v>
      </c>
      <c r="E45" s="13"/>
      <c r="F45" s="13" t="s">
        <v>226</v>
      </c>
      <c r="G45" s="13" t="s">
        <v>226</v>
      </c>
      <c r="H45" s="13"/>
      <c r="I45" s="13"/>
      <c r="J45" s="13" t="s">
        <v>227</v>
      </c>
      <c r="K45" s="13" t="s">
        <v>227</v>
      </c>
      <c r="L45" s="13"/>
      <c r="M45" s="13" t="s">
        <v>228</v>
      </c>
      <c r="N45" s="14" t="str">
        <f>HYPERLINK("mailto:vicki.carlton@co.pueblo.co.us","Vicki Carlton")</f>
        <v>Vicki Carlton</v>
      </c>
      <c r="O45" s="15" t="str">
        <f>HYPERLINK("mailto:Mario.Seminara@fda.hhs.gov","Mario Seminara")</f>
        <v>Mario Seminara</v>
      </c>
    </row>
    <row r="46" spans="1:15" ht="30" x14ac:dyDescent="0.25">
      <c r="A46" s="6" t="str">
        <f>HYPERLINK("http://www.co.rio-blanco.co.us/departments/public-health-services.html","Rio Blanco County Health Department")</f>
        <v>Rio Blanco County Health Department</v>
      </c>
      <c r="B46" s="7">
        <v>41424</v>
      </c>
      <c r="C46" s="8">
        <v>1</v>
      </c>
      <c r="D46" s="7">
        <v>41796</v>
      </c>
      <c r="E46" s="8"/>
      <c r="F46" s="8"/>
      <c r="G46" s="8"/>
      <c r="H46" s="8"/>
      <c r="I46" s="8"/>
      <c r="J46" s="8"/>
      <c r="K46" s="8"/>
      <c r="L46" s="8"/>
      <c r="M46" s="8"/>
      <c r="N46" s="9" t="str">
        <f>HYPERLINK("mailto:jsimmons@co.rio-blanco.co.us","Jeremy Simmons")</f>
        <v>Jeremy Simmons</v>
      </c>
      <c r="O46" s="10" t="str">
        <f>HYPERLINK("mailto:Mario.Seminara@fda.hhs.gov","Mario Seminara")</f>
        <v>Mario Seminara</v>
      </c>
    </row>
    <row r="47" spans="1:15" ht="30" x14ac:dyDescent="0.25">
      <c r="A47" s="29" t="s">
        <v>229</v>
      </c>
      <c r="B47" s="12">
        <v>41285</v>
      </c>
      <c r="C47" s="13">
        <v>1</v>
      </c>
      <c r="D47" s="12">
        <v>41302</v>
      </c>
      <c r="E47" s="13"/>
      <c r="F47" s="13"/>
      <c r="G47" s="13"/>
      <c r="H47" s="13"/>
      <c r="I47" s="13"/>
      <c r="J47" s="13"/>
      <c r="K47" s="13" t="s">
        <v>230</v>
      </c>
      <c r="L47" s="13"/>
      <c r="M47" s="13"/>
      <c r="N47" s="14" t="str">
        <f>HYPERLINK("mailto:Hsavalox@co.routt.co.us","Heather Savalox")</f>
        <v>Heather Savalox</v>
      </c>
      <c r="O47" s="15" t="str">
        <f>HYPERLINK("mailto:Mario.Seminara@fda.hhs.gov","Mario Seminara")</f>
        <v>Mario Seminara</v>
      </c>
    </row>
    <row r="48" spans="1:15" ht="30" x14ac:dyDescent="0.25">
      <c r="A48" s="29" t="s">
        <v>229</v>
      </c>
      <c r="B48" s="12">
        <v>41285</v>
      </c>
      <c r="C48" s="13">
        <v>2</v>
      </c>
      <c r="D48" s="12">
        <v>43131</v>
      </c>
      <c r="E48" s="13"/>
      <c r="F48" s="13" t="s">
        <v>231</v>
      </c>
      <c r="G48" s="13" t="s">
        <v>232</v>
      </c>
      <c r="H48" s="13"/>
      <c r="I48" s="13"/>
      <c r="J48" s="13"/>
      <c r="K48" s="13" t="s">
        <v>233</v>
      </c>
      <c r="L48" s="13"/>
      <c r="M48" s="13"/>
      <c r="N48" s="14" t="str">
        <f>HYPERLINK("mailto:Hsavalox@co.routt.co.us","Heather Savalox")</f>
        <v>Heather Savalox</v>
      </c>
      <c r="O48" s="15" t="str">
        <f>HYPERLINK("mailto:Mario.Seminara@fda.hhs.gov","Mario Seminara")</f>
        <v>Mario Seminara</v>
      </c>
    </row>
    <row r="49" spans="1:15" ht="30" x14ac:dyDescent="0.25">
      <c r="A49" s="6" t="str">
        <f>HYPERLINK("http://www.sjbhd.org/","San Juan Basin Health Department")</f>
        <v>San Juan Basin Health Department</v>
      </c>
      <c r="B49" s="7">
        <v>37718</v>
      </c>
      <c r="C49" s="8">
        <v>1</v>
      </c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10" t="str">
        <f>HYPERLINK("mailto:Mario.Seminara@fda.hhs.gov","Mario Seminara")</f>
        <v>Mario Seminara</v>
      </c>
    </row>
    <row r="50" spans="1:15" ht="30" x14ac:dyDescent="0.25">
      <c r="A50" s="29" t="s">
        <v>234</v>
      </c>
      <c r="B50" s="12">
        <v>43005</v>
      </c>
      <c r="C50" s="13">
        <v>1</v>
      </c>
      <c r="D50" s="12">
        <v>43410</v>
      </c>
      <c r="E50" s="13"/>
      <c r="F50" s="13"/>
      <c r="G50" s="13"/>
      <c r="H50" s="13"/>
      <c r="I50" s="13"/>
      <c r="J50" s="13"/>
      <c r="K50" s="13"/>
      <c r="L50" s="13"/>
      <c r="M50" s="13"/>
      <c r="N50" s="14" t="str">
        <f>HYPERLINK("mailto:jodi@silverthreadthd.org","Jodi Linsey")</f>
        <v>Jodi Linsey</v>
      </c>
      <c r="O50" s="15" t="str">
        <f>HYPERLINK("mailto:Mario.Seminara@fda.hhs.gov","Mario Seminara")</f>
        <v>Mario Seminara</v>
      </c>
    </row>
    <row r="51" spans="1:15" ht="30" x14ac:dyDescent="0.25">
      <c r="A51" s="28" t="s">
        <v>235</v>
      </c>
      <c r="B51" s="7">
        <v>40256</v>
      </c>
      <c r="C51" s="8">
        <v>1</v>
      </c>
      <c r="D51" s="7">
        <v>40680</v>
      </c>
      <c r="E51" s="8"/>
      <c r="F51" s="8" t="s">
        <v>236</v>
      </c>
      <c r="G51" s="8"/>
      <c r="H51" s="8"/>
      <c r="I51" s="8"/>
      <c r="J51" s="8"/>
      <c r="K51" s="8" t="s">
        <v>237</v>
      </c>
      <c r="L51" s="8"/>
      <c r="M51" s="8"/>
      <c r="N51" s="8"/>
      <c r="O51" s="10" t="str">
        <f>HYPERLINK("mailto:Mario.Seminara@fda.hhs.gov","Mario Seminara")</f>
        <v>Mario Seminara</v>
      </c>
    </row>
    <row r="52" spans="1:15" ht="30" x14ac:dyDescent="0.25">
      <c r="A52" s="28" t="s">
        <v>235</v>
      </c>
      <c r="B52" s="7">
        <v>40256</v>
      </c>
      <c r="C52" s="8">
        <v>2</v>
      </c>
      <c r="D52" s="7">
        <v>42612</v>
      </c>
      <c r="E52" s="8"/>
      <c r="F52" s="8" t="s">
        <v>238</v>
      </c>
      <c r="G52" s="8" t="s">
        <v>239</v>
      </c>
      <c r="H52" s="8"/>
      <c r="I52" s="8" t="s">
        <v>238</v>
      </c>
      <c r="J52" s="8"/>
      <c r="K52" s="8"/>
      <c r="L52" s="8"/>
      <c r="M52" s="8" t="s">
        <v>240</v>
      </c>
      <c r="N52" s="9" t="str">
        <f>HYPERLINK("mailto:dan.hendershott@summitcountyco.gov","Dan Hendershott")</f>
        <v>Dan Hendershott</v>
      </c>
      <c r="O52" s="10" t="str">
        <f>HYPERLINK("mailto:Mario.Seminara@fda.hhs.gov","Mario Seminara")</f>
        <v>Mario Seminara</v>
      </c>
    </row>
    <row r="53" spans="1:15" ht="30" x14ac:dyDescent="0.25">
      <c r="A53" s="11" t="str">
        <f>HYPERLINK("http://www.co.teller.co.us/CDSD/EnvHealthDept.aspx","Teller County Environmental Health")</f>
        <v>Teller County Environmental Health</v>
      </c>
      <c r="B53" s="12">
        <v>40339</v>
      </c>
      <c r="C53" s="13">
        <v>1</v>
      </c>
      <c r="D53" s="12">
        <v>40470</v>
      </c>
      <c r="E53" s="13"/>
      <c r="F53" s="13"/>
      <c r="G53" s="13"/>
      <c r="H53" s="13"/>
      <c r="I53" s="13"/>
      <c r="J53" s="13"/>
      <c r="K53" s="13"/>
      <c r="L53" s="13"/>
      <c r="M53" s="13"/>
      <c r="N53" s="14" t="str">
        <f>HYPERLINK("mailto:Lemmonsa@co.teller.co.us","Andrew Lemmons")</f>
        <v>Andrew Lemmons</v>
      </c>
      <c r="O53" s="15" t="str">
        <f>HYPERLINK("mailto:Mario.Seminara@fda.hhs.gov","Mario Seminara")</f>
        <v>Mario Seminara</v>
      </c>
    </row>
    <row r="54" spans="1:15" ht="30" x14ac:dyDescent="0.25">
      <c r="A54" s="11" t="str">
        <f>HYPERLINK("http://www.co.teller.co.us/CDSD/EnvHealthDept.aspx","Teller County Environmental Health")</f>
        <v>Teller County Environmental Health</v>
      </c>
      <c r="B54" s="12">
        <v>40339</v>
      </c>
      <c r="C54" s="13">
        <v>2</v>
      </c>
      <c r="D54" s="12">
        <v>43182</v>
      </c>
      <c r="E54" s="13"/>
      <c r="F54" s="13" t="s">
        <v>241</v>
      </c>
      <c r="G54" s="13" t="s">
        <v>241</v>
      </c>
      <c r="H54" s="13"/>
      <c r="I54" s="13"/>
      <c r="J54" s="13"/>
      <c r="K54" s="13"/>
      <c r="L54" s="13"/>
      <c r="M54" s="13"/>
      <c r="N54" s="14" t="str">
        <f>HYPERLINK("mailto:Lemmonsa@co.teller.co.us","Andrew Lemmons")</f>
        <v>Andrew Lemmons</v>
      </c>
      <c r="O54" s="15" t="str">
        <f>HYPERLINK("mailto:Mario.Seminara@fda.hhs.gov","Mario Seminara")</f>
        <v>Mario Seminara</v>
      </c>
    </row>
    <row r="55" spans="1:15" ht="30" x14ac:dyDescent="0.25">
      <c r="A55" s="6" t="str">
        <f>HYPERLINK("http://www.tchd.org/environmentalhealth.htm","Tri-County Health Department")</f>
        <v>Tri-County Health Department</v>
      </c>
      <c r="B55" s="7">
        <v>41324</v>
      </c>
      <c r="C55" s="8">
        <v>1</v>
      </c>
      <c r="D55" s="7">
        <v>41709</v>
      </c>
      <c r="E55" s="8"/>
      <c r="F55" s="8"/>
      <c r="G55" s="8" t="s">
        <v>242</v>
      </c>
      <c r="H55" s="8" t="s">
        <v>243</v>
      </c>
      <c r="I55" s="8" t="s">
        <v>244</v>
      </c>
      <c r="J55" s="8" t="s">
        <v>245</v>
      </c>
      <c r="K55" s="8" t="s">
        <v>246</v>
      </c>
      <c r="L55" s="8"/>
      <c r="M55" s="8"/>
      <c r="N55" s="9" t="str">
        <f>HYPERLINK("mailto:mhatterman@tchd.org","Meridith Hatterman")</f>
        <v>Meridith Hatterman</v>
      </c>
      <c r="O55" s="10" t="str">
        <f>HYPERLINK("mailto:Mario.Seminara@fda.hhs.gov","Mario Seminara")</f>
        <v>Mario Seminara</v>
      </c>
    </row>
    <row r="56" spans="1:15" ht="45" x14ac:dyDescent="0.25">
      <c r="A56" s="11" t="str">
        <f>HYPERLINK("http://www.co.weld.co.us/departments/health/","Weld County Department of Public Health and Environment")</f>
        <v>Weld County Department of Public Health and Environment</v>
      </c>
      <c r="B56" s="12">
        <v>38481</v>
      </c>
      <c r="C56" s="13">
        <v>1</v>
      </c>
      <c r="D56" s="12">
        <v>38849</v>
      </c>
      <c r="E56" s="13"/>
      <c r="F56" s="13"/>
      <c r="G56" s="13"/>
      <c r="H56" s="13"/>
      <c r="I56" s="13"/>
      <c r="J56" s="13"/>
      <c r="K56" s="13"/>
      <c r="L56" s="13"/>
      <c r="M56" s="13"/>
      <c r="N56" s="14" t="str">
        <f>HYPERLINK("mailto:dadamson@co.weld.co.us","Debra Adamson")</f>
        <v>Debra Adamson</v>
      </c>
      <c r="O56" s="15" t="str">
        <f>HYPERLINK("mailto:Mario.Seminara@fda.hhs.gov","Mario Seminara")</f>
        <v>Mario Seminara</v>
      </c>
    </row>
    <row r="57" spans="1:15" ht="45" x14ac:dyDescent="0.25">
      <c r="A57" s="22" t="str">
        <f>HYPERLINK("http://www.co.weld.co.us/departments/health/","Weld County Department of Public Health and Environment")</f>
        <v>Weld County Department of Public Health and Environment</v>
      </c>
      <c r="B57" s="23">
        <v>38481</v>
      </c>
      <c r="C57" s="24">
        <v>2</v>
      </c>
      <c r="D57" s="23">
        <v>41901</v>
      </c>
      <c r="E57" s="24"/>
      <c r="F57" s="24" t="s">
        <v>247</v>
      </c>
      <c r="G57" s="24" t="s">
        <v>247</v>
      </c>
      <c r="H57" s="24" t="s">
        <v>247</v>
      </c>
      <c r="I57" s="24"/>
      <c r="J57" s="24" t="s">
        <v>248</v>
      </c>
      <c r="K57" s="24" t="s">
        <v>247</v>
      </c>
      <c r="L57" s="24"/>
      <c r="M57" s="24"/>
      <c r="N57" s="25" t="str">
        <f>HYPERLINK("mailto:gvergara@weldgov.com","Gabrielle Vergara")</f>
        <v>Gabrielle Vergara</v>
      </c>
      <c r="O57" s="26" t="str">
        <f>HYPERLINK("mailto:Mario.Seminara@fda.hhs.gov","Mario Seminara")</f>
        <v>Mario Seminara</v>
      </c>
    </row>
  </sheetData>
  <pageMargins left="0.15" right="0.15" top="0.25" bottom="0.25" header="0.05" footer="0.05"/>
  <pageSetup orientation="landscape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02931-51E5-4E5F-BB26-5AA86DF635E0}">
  <sheetPr>
    <pageSetUpPr fitToPage="1"/>
  </sheetPr>
  <dimension ref="A1:O27"/>
  <sheetViews>
    <sheetView workbookViewId="0"/>
  </sheetViews>
  <sheetFormatPr defaultRowHeight="15" x14ac:dyDescent="0.25"/>
  <cols>
    <col min="1" max="1" width="33.7109375" customWidth="1"/>
    <col min="2" max="2" width="14.85546875" customWidth="1"/>
    <col min="3" max="3" width="18.42578125" customWidth="1"/>
    <col min="4" max="4" width="22" customWidth="1"/>
    <col min="5" max="13" width="17.28515625" customWidth="1"/>
    <col min="14" max="14" width="14.85546875" customWidth="1"/>
    <col min="15" max="15" width="13.140625" customWidth="1"/>
  </cols>
  <sheetData>
    <row r="1" spans="1:15" x14ac:dyDescent="0.25">
      <c r="A1" t="s">
        <v>285</v>
      </c>
      <c r="B1" s="2" t="str">
        <f>HYPERLINK("#Introduction!A1","Back to Introduction Page")</f>
        <v>Back to Introduction Page</v>
      </c>
    </row>
    <row r="2" spans="1:15" x14ac:dyDescent="0.25">
      <c r="A2" s="21" t="s">
        <v>286</v>
      </c>
    </row>
    <row r="3" spans="1:15" ht="45" x14ac:dyDescent="0.25">
      <c r="A3" s="4" t="s">
        <v>15</v>
      </c>
      <c r="B3" s="3" t="s">
        <v>16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21</v>
      </c>
      <c r="H3" s="3" t="s">
        <v>22</v>
      </c>
      <c r="I3" s="3" t="s">
        <v>23</v>
      </c>
      <c r="J3" s="3" t="s">
        <v>24</v>
      </c>
      <c r="K3" s="3" t="s">
        <v>25</v>
      </c>
      <c r="L3" s="3" t="s">
        <v>26</v>
      </c>
      <c r="M3" s="3" t="s">
        <v>27</v>
      </c>
      <c r="N3" s="3" t="s">
        <v>28</v>
      </c>
      <c r="O3" s="5" t="s">
        <v>29</v>
      </c>
    </row>
    <row r="4" spans="1:15" ht="30" x14ac:dyDescent="0.25">
      <c r="A4" s="6" t="str">
        <f>HYPERLINK("http://www.chathamhealth.org/","Chatham Health District")</f>
        <v>Chatham Health District</v>
      </c>
      <c r="B4" s="7">
        <v>40312</v>
      </c>
      <c r="C4" s="8">
        <v>1</v>
      </c>
      <c r="D4" s="7">
        <v>41319</v>
      </c>
      <c r="E4" s="8"/>
      <c r="F4" s="8"/>
      <c r="G4" s="8"/>
      <c r="H4" s="8"/>
      <c r="I4" s="8"/>
      <c r="J4" s="8"/>
      <c r="K4" s="8"/>
      <c r="L4" s="8"/>
      <c r="M4" s="8" t="s">
        <v>251</v>
      </c>
      <c r="N4" s="9" t="str">
        <f>HYPERLINK("mailto:thad.king@chathamhealth.org","Thad King")</f>
        <v>Thad King</v>
      </c>
      <c r="O4" s="10" t="str">
        <f>HYPERLINK("mailto:Steven.Nattrass@fda.hhs.gov","Steven Nattrass")</f>
        <v>Steven Nattrass</v>
      </c>
    </row>
    <row r="5" spans="1:15" ht="30" x14ac:dyDescent="0.25">
      <c r="A5" s="6" t="str">
        <f>HYPERLINK("http://www.chathamhealth.org/","Chatham Health District")</f>
        <v>Chatham Health District</v>
      </c>
      <c r="B5" s="7">
        <v>40312</v>
      </c>
      <c r="C5" s="8">
        <v>2</v>
      </c>
      <c r="D5" s="7">
        <v>42257</v>
      </c>
      <c r="E5" s="8"/>
      <c r="F5" s="8"/>
      <c r="G5" s="8"/>
      <c r="H5" s="8"/>
      <c r="I5" s="8"/>
      <c r="J5" s="8"/>
      <c r="K5" s="8"/>
      <c r="L5" s="8"/>
      <c r="M5" s="8" t="s">
        <v>252</v>
      </c>
      <c r="N5" s="9" t="str">
        <f>HYPERLINK("mailto:thad.king@chathamhealth.org","Thad King")</f>
        <v>Thad King</v>
      </c>
      <c r="O5" s="10" t="str">
        <f>HYPERLINK("mailto:Steven.Nattrass@fda.hhs.gov","Steven Nattrass")</f>
        <v>Steven Nattrass</v>
      </c>
    </row>
    <row r="6" spans="1:15" ht="30" x14ac:dyDescent="0.25">
      <c r="A6" s="29" t="s">
        <v>253</v>
      </c>
      <c r="B6" s="12">
        <v>42983</v>
      </c>
      <c r="C6" s="13">
        <v>1</v>
      </c>
      <c r="D6" s="12">
        <v>43313</v>
      </c>
      <c r="E6" s="13" t="s">
        <v>254</v>
      </c>
      <c r="F6" s="13"/>
      <c r="G6" s="13"/>
      <c r="H6" s="13" t="s">
        <v>254</v>
      </c>
      <c r="I6" s="13"/>
      <c r="J6" s="13"/>
      <c r="K6" s="13"/>
      <c r="L6" s="13" t="s">
        <v>254</v>
      </c>
      <c r="M6" s="13"/>
      <c r="N6" s="14" t="str">
        <f>HYPERLINK("mailto:lmorrissey@danbury-ct.gov","Lisa Michelle Morrissey MPH")</f>
        <v>Lisa Michelle Morrissey MPH</v>
      </c>
      <c r="O6" s="15" t="str">
        <f>HYPERLINK("mailto:Steven.Nattrass@fda.hhs.gov","Steven Nattrass")</f>
        <v>Steven Nattrass</v>
      </c>
    </row>
    <row r="7" spans="1:15" ht="30" x14ac:dyDescent="0.25">
      <c r="A7" s="6" t="str">
        <f>HYPERLINK("http://www.dph.state.ct.us/","Connecticut Department of Consumer Protection")</f>
        <v>Connecticut Department of Consumer Protection</v>
      </c>
      <c r="B7" s="7">
        <v>37194</v>
      </c>
      <c r="C7" s="8">
        <v>1</v>
      </c>
      <c r="D7" s="7">
        <v>37222</v>
      </c>
      <c r="E7" s="8"/>
      <c r="F7" s="8"/>
      <c r="G7" s="8"/>
      <c r="H7" s="8"/>
      <c r="I7" s="8"/>
      <c r="J7" s="8"/>
      <c r="K7" s="8" t="s">
        <v>255</v>
      </c>
      <c r="L7" s="8"/>
      <c r="M7" s="8"/>
      <c r="N7" s="9" t="str">
        <f>HYPERLINK("mailto:frank.greene@ct.gov","Frank Greene")</f>
        <v>Frank Greene</v>
      </c>
      <c r="O7" s="10" t="str">
        <f>HYPERLINK("mailto:Steven.Nattrass@fda.hhs.gov","Steven Nattrass")</f>
        <v>Steven Nattrass</v>
      </c>
    </row>
    <row r="8" spans="1:15" ht="30" x14ac:dyDescent="0.25">
      <c r="A8" s="11" t="str">
        <f>HYPERLINK("http://www.ct.gov/dph/site/default.asp","CT Department of Public Health")</f>
        <v>CT Department of Public Health</v>
      </c>
      <c r="B8" s="12">
        <v>41256</v>
      </c>
      <c r="C8" s="13">
        <v>1</v>
      </c>
      <c r="D8" s="12">
        <v>41613</v>
      </c>
      <c r="E8" s="13"/>
      <c r="F8" s="13"/>
      <c r="G8" s="13"/>
      <c r="H8" s="13"/>
      <c r="I8" s="13" t="s">
        <v>256</v>
      </c>
      <c r="J8" s="13"/>
      <c r="K8" s="13" t="s">
        <v>257</v>
      </c>
      <c r="L8" s="13"/>
      <c r="M8" s="13"/>
      <c r="N8" s="13" t="s">
        <v>258</v>
      </c>
      <c r="O8" s="15" t="str">
        <f>HYPERLINK("mailto:Steven.Nattrass@fda.hhs.gov","Steven Nattrass")</f>
        <v>Steven Nattrass</v>
      </c>
    </row>
    <row r="9" spans="1:15" ht="30" x14ac:dyDescent="0.25">
      <c r="A9" s="11" t="str">
        <f>HYPERLINK("http://www.ct.gov/dph/site/default.asp","CT Department of Public Health")</f>
        <v>CT Department of Public Health</v>
      </c>
      <c r="B9" s="12">
        <v>41256</v>
      </c>
      <c r="C9" s="13">
        <v>2</v>
      </c>
      <c r="D9" s="12">
        <v>43430</v>
      </c>
      <c r="E9" s="13" t="s">
        <v>259</v>
      </c>
      <c r="F9" s="13"/>
      <c r="G9" s="13"/>
      <c r="H9" s="13"/>
      <c r="I9" s="13" t="s">
        <v>260</v>
      </c>
      <c r="J9" s="13"/>
      <c r="K9" s="13" t="s">
        <v>261</v>
      </c>
      <c r="L9" s="13"/>
      <c r="M9" s="13"/>
      <c r="N9" s="14" t="str">
        <f>HYPERLINK("mailto:christine.applewhite@ct.gov","Christine Applewhite")</f>
        <v>Christine Applewhite</v>
      </c>
      <c r="O9" s="15" t="str">
        <f>HYPERLINK("mailto:Steven.Nattrass@fda.hhs.gov","Steven Nattrass")</f>
        <v>Steven Nattrass</v>
      </c>
    </row>
    <row r="10" spans="1:15" ht="30" x14ac:dyDescent="0.25">
      <c r="A10" s="28" t="s">
        <v>262</v>
      </c>
      <c r="B10" s="7">
        <v>42681</v>
      </c>
      <c r="C10" s="8">
        <v>1</v>
      </c>
      <c r="D10" s="8"/>
      <c r="E10" s="8" t="s">
        <v>59</v>
      </c>
      <c r="F10" s="8"/>
      <c r="G10" s="8"/>
      <c r="H10" s="8"/>
      <c r="I10" s="8"/>
      <c r="J10" s="8"/>
      <c r="K10" s="8"/>
      <c r="L10" s="8"/>
      <c r="M10" s="8"/>
      <c r="N10" s="9" t="str">
        <f>HYPERLINK("mailto:acinotti@esdhd.org","Alex Cinotti")</f>
        <v>Alex Cinotti</v>
      </c>
      <c r="O10" s="10" t="str">
        <f>HYPERLINK("mailto:Steven.Nattrass@fda.hhs.gov","Steven Nattrass")</f>
        <v>Steven Nattrass</v>
      </c>
    </row>
    <row r="11" spans="1:15" ht="30" x14ac:dyDescent="0.25">
      <c r="A11" s="11" t="str">
        <f>HYPERLINK("http://www.fvhd.org/","Farmington Valley Health District")</f>
        <v>Farmington Valley Health District</v>
      </c>
      <c r="B11" s="12">
        <v>42223</v>
      </c>
      <c r="C11" s="13">
        <v>1</v>
      </c>
      <c r="D11" s="12">
        <v>42821</v>
      </c>
      <c r="E11" s="13"/>
      <c r="F11" s="13"/>
      <c r="G11" s="13"/>
      <c r="H11" s="13"/>
      <c r="I11" s="13"/>
      <c r="J11" s="13"/>
      <c r="K11" s="13"/>
      <c r="L11" s="13"/>
      <c r="M11" s="13"/>
      <c r="N11" s="14" t="str">
        <f>HYPERLINK("mailto:kelak@fvhd.org","Kevin Elak")</f>
        <v>Kevin Elak</v>
      </c>
      <c r="O11" s="15" t="str">
        <f>HYPERLINK("mailto:Steven.Nattrass@fda.hhs.gov","Steven Nattrass")</f>
        <v>Steven Nattrass</v>
      </c>
    </row>
    <row r="12" spans="1:15" ht="30" x14ac:dyDescent="0.25">
      <c r="A12" s="11" t="str">
        <f>HYPERLINK("http://www.fvhd.org/","Farmington Valley Health District")</f>
        <v>Farmington Valley Health District</v>
      </c>
      <c r="B12" s="12">
        <v>42223</v>
      </c>
      <c r="C12" s="13">
        <v>2</v>
      </c>
      <c r="D12" s="12">
        <v>43511</v>
      </c>
      <c r="E12" s="13"/>
      <c r="F12" s="13"/>
      <c r="G12" s="13"/>
      <c r="H12" s="13"/>
      <c r="I12" s="13" t="s">
        <v>263</v>
      </c>
      <c r="J12" s="13"/>
      <c r="K12" s="13" t="s">
        <v>263</v>
      </c>
      <c r="L12" s="13"/>
      <c r="M12" s="13"/>
      <c r="N12" s="14" t="str">
        <f>HYPERLINK("mailto:lbrennan@fvhd.org","Laurie Brennan")</f>
        <v>Laurie Brennan</v>
      </c>
      <c r="O12" s="15" t="str">
        <f>HYPERLINK("mailto:Steven.Nattrass@fda.hhs.gov","Steven Nattrass")</f>
        <v>Steven Nattrass</v>
      </c>
    </row>
    <row r="13" spans="1:15" ht="30" x14ac:dyDescent="0.25">
      <c r="A13" s="6" t="str">
        <f>HYPERLINK("www.hartford.gov","Hartford Health and Human Services")</f>
        <v>Hartford Health and Human Services</v>
      </c>
      <c r="B13" s="7">
        <v>43384</v>
      </c>
      <c r="C13" s="8">
        <v>1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9" t="str">
        <f>HYPERLINK("mailto:ekavanah@hartford.gov","Elizabeth Kavanah")</f>
        <v>Elizabeth Kavanah</v>
      </c>
      <c r="O13" s="10" t="str">
        <f>HYPERLINK("mailto:Steven.Nattrass@fda.hhs.gov","Steven Nattrass")</f>
        <v>Steven Nattrass</v>
      </c>
    </row>
    <row r="14" spans="1:15" ht="30" x14ac:dyDescent="0.25">
      <c r="A14" s="11" t="str">
        <f>HYPERLINK("http://www.ledgelighthd.org/","Ledge Light Health District")</f>
        <v>Ledge Light Health District</v>
      </c>
      <c r="B14" s="12">
        <v>41886</v>
      </c>
      <c r="C14" s="13">
        <v>1</v>
      </c>
      <c r="D14" s="12">
        <v>42152</v>
      </c>
      <c r="E14" s="13"/>
      <c r="F14" s="13"/>
      <c r="G14" s="13"/>
      <c r="H14" s="13"/>
      <c r="I14" s="13"/>
      <c r="J14" s="13" t="s">
        <v>264</v>
      </c>
      <c r="K14" s="13" t="s">
        <v>264</v>
      </c>
      <c r="L14" s="13"/>
      <c r="M14" s="13"/>
      <c r="N14" s="14" t="str">
        <f>HYPERLINK("mailto:rmelmed@llhd.org","Russell Melmed")</f>
        <v>Russell Melmed</v>
      </c>
      <c r="O14" s="15" t="str">
        <f>HYPERLINK("mailto:Steven.Nattrass@fda.hhs.gov","Steven Nattrass")</f>
        <v>Steven Nattrass</v>
      </c>
    </row>
    <row r="15" spans="1:15" ht="30" x14ac:dyDescent="0.25">
      <c r="A15" s="28" t="s">
        <v>265</v>
      </c>
      <c r="B15" s="7">
        <v>38841</v>
      </c>
      <c r="C15" s="8">
        <v>1</v>
      </c>
      <c r="D15" s="7">
        <v>39171</v>
      </c>
      <c r="E15" s="8" t="s">
        <v>266</v>
      </c>
      <c r="F15" s="8" t="s">
        <v>267</v>
      </c>
      <c r="G15" s="8"/>
      <c r="H15" s="8"/>
      <c r="I15" s="8"/>
      <c r="J15" s="8"/>
      <c r="K15" s="8"/>
      <c r="L15" s="8"/>
      <c r="M15" s="8"/>
      <c r="N15" s="8" t="s">
        <v>268</v>
      </c>
      <c r="O15" s="10" t="str">
        <f>HYPERLINK("mailto:Steven.Nattrass@fda.hhs.gov","Steven Nattrass")</f>
        <v>Steven Nattrass</v>
      </c>
    </row>
    <row r="16" spans="1:15" ht="30" x14ac:dyDescent="0.25">
      <c r="A16" s="28" t="s">
        <v>265</v>
      </c>
      <c r="B16" s="7">
        <v>38841</v>
      </c>
      <c r="C16" s="8">
        <v>2</v>
      </c>
      <c r="D16" s="7">
        <v>41241</v>
      </c>
      <c r="E16" s="8"/>
      <c r="F16" s="8"/>
      <c r="G16" s="8" t="s">
        <v>269</v>
      </c>
      <c r="H16" s="8"/>
      <c r="I16" s="8"/>
      <c r="J16" s="8" t="s">
        <v>270</v>
      </c>
      <c r="K16" s="8"/>
      <c r="L16" s="8"/>
      <c r="M16" s="8"/>
      <c r="N16" s="8" t="s">
        <v>268</v>
      </c>
      <c r="O16" s="10" t="str">
        <f>HYPERLINK("mailto:Steven.Nattrass@fda.hhs.gov","Steven Nattrass")</f>
        <v>Steven Nattrass</v>
      </c>
    </row>
    <row r="17" spans="1:15" ht="30" x14ac:dyDescent="0.25">
      <c r="A17" s="28" t="s">
        <v>265</v>
      </c>
      <c r="B17" s="7">
        <v>38841</v>
      </c>
      <c r="C17" s="8">
        <v>3</v>
      </c>
      <c r="D17" s="7">
        <v>43052</v>
      </c>
      <c r="E17" s="8" t="s">
        <v>271</v>
      </c>
      <c r="F17" s="8" t="s">
        <v>271</v>
      </c>
      <c r="G17" s="8" t="s">
        <v>271</v>
      </c>
      <c r="H17" s="8"/>
      <c r="I17" s="8"/>
      <c r="J17" s="8" t="s">
        <v>271</v>
      </c>
      <c r="K17" s="8"/>
      <c r="L17" s="8"/>
      <c r="M17" s="8"/>
      <c r="N17" s="8" t="s">
        <v>268</v>
      </c>
      <c r="O17" s="10" t="str">
        <f>HYPERLINK("mailto:Steven.Nattrass@fda.hhs.gov","Steven Nattrass")</f>
        <v>Steven Nattrass</v>
      </c>
    </row>
    <row r="18" spans="1:15" ht="30" x14ac:dyDescent="0.25">
      <c r="A18" s="29" t="s">
        <v>272</v>
      </c>
      <c r="B18" s="12">
        <v>42677</v>
      </c>
      <c r="C18" s="13">
        <v>1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4" t="str">
        <f>HYPERLINK("mailto:kelak@fvhd.org","Kevin Elak")</f>
        <v>Kevin Elak</v>
      </c>
      <c r="O18" s="15" t="str">
        <f>HYPERLINK("mailto:Steven.Nattrass@fda.hhs.gov","Steven Nattrass")</f>
        <v>Steven Nattrass</v>
      </c>
    </row>
    <row r="19" spans="1:15" ht="30" x14ac:dyDescent="0.25">
      <c r="A19" s="29" t="s">
        <v>272</v>
      </c>
      <c r="B19" s="12">
        <v>42677</v>
      </c>
      <c r="C19" s="13">
        <v>2</v>
      </c>
      <c r="D19" s="12">
        <v>42828</v>
      </c>
      <c r="E19" s="13"/>
      <c r="F19" s="13"/>
      <c r="G19" s="13"/>
      <c r="H19" s="13"/>
      <c r="I19" s="13"/>
      <c r="J19" s="13"/>
      <c r="K19" s="13" t="s">
        <v>273</v>
      </c>
      <c r="L19" s="13"/>
      <c r="M19" s="13"/>
      <c r="N19" s="14" t="str">
        <f>HYPERLINK("mailto:kevin.elak@middletownct.gov","Kevin Elak")</f>
        <v>Kevin Elak</v>
      </c>
      <c r="O19" s="15" t="str">
        <f>HYPERLINK("mailto:Steven.Nattrass@fda.hhs.gov","Steven Nattrass")</f>
        <v>Steven Nattrass</v>
      </c>
    </row>
    <row r="20" spans="1:15" ht="30" x14ac:dyDescent="0.25">
      <c r="A20" s="6" t="str">
        <f>HYPERLINK("http://www.mohegan.nsn.us/","Mohegan Tribe")</f>
        <v>Mohegan Tribe</v>
      </c>
      <c r="B20" s="7">
        <v>37183</v>
      </c>
      <c r="C20" s="8">
        <v>1</v>
      </c>
      <c r="D20" s="7">
        <v>37183</v>
      </c>
      <c r="E20" s="8" t="s">
        <v>274</v>
      </c>
      <c r="F20" s="8" t="s">
        <v>275</v>
      </c>
      <c r="G20" s="8"/>
      <c r="H20" s="8"/>
      <c r="I20" s="8"/>
      <c r="J20" s="8"/>
      <c r="K20" s="8" t="s">
        <v>276</v>
      </c>
      <c r="L20" s="8"/>
      <c r="M20" s="8"/>
      <c r="N20" s="8" t="s">
        <v>277</v>
      </c>
      <c r="O20" s="10" t="str">
        <f>HYPERLINK("mailto:Steven.Nattrass@fda.hhs.gov","Steven Nattrass")</f>
        <v>Steven Nattrass</v>
      </c>
    </row>
    <row r="21" spans="1:15" ht="30" x14ac:dyDescent="0.25">
      <c r="A21" s="6" t="str">
        <f>HYPERLINK("http://www.mohegan.nsn.us/","Mohegan Tribe")</f>
        <v>Mohegan Tribe</v>
      </c>
      <c r="B21" s="7">
        <v>37183</v>
      </c>
      <c r="C21" s="8">
        <v>2</v>
      </c>
      <c r="D21" s="7">
        <v>43397</v>
      </c>
      <c r="E21" s="8" t="s">
        <v>278</v>
      </c>
      <c r="F21" s="8"/>
      <c r="G21" s="8" t="s">
        <v>278</v>
      </c>
      <c r="H21" s="8" t="s">
        <v>278</v>
      </c>
      <c r="I21" s="8"/>
      <c r="J21" s="8" t="s">
        <v>278</v>
      </c>
      <c r="K21" s="8" t="s">
        <v>278</v>
      </c>
      <c r="L21" s="8" t="s">
        <v>278</v>
      </c>
      <c r="M21" s="8"/>
      <c r="N21" s="8" t="s">
        <v>277</v>
      </c>
      <c r="O21" s="10" t="str">
        <f>HYPERLINK("mailto:Steven.Nattrass@fda.hhs.gov","Steven Nattrass")</f>
        <v>Steven Nattrass</v>
      </c>
    </row>
    <row r="22" spans="1:15" ht="30" x14ac:dyDescent="0.25">
      <c r="A22" s="29" t="s">
        <v>279</v>
      </c>
      <c r="B22" s="12">
        <v>42643</v>
      </c>
      <c r="C22" s="13">
        <v>1</v>
      </c>
      <c r="D22" s="12">
        <v>43117</v>
      </c>
      <c r="E22" s="13"/>
      <c r="F22" s="13"/>
      <c r="G22" s="13"/>
      <c r="H22" s="13"/>
      <c r="I22" s="13"/>
      <c r="J22" s="13"/>
      <c r="K22" s="13"/>
      <c r="L22" s="13"/>
      <c r="M22" s="13"/>
      <c r="N22" s="14" t="str">
        <f>HYPERLINK("mailto:lbalch@qvhd.org","Leslie Balch")</f>
        <v>Leslie Balch</v>
      </c>
      <c r="O22" s="15" t="str">
        <f>HYPERLINK("mailto:Steven.Nattrass@fda.hhs.gov","Steven Nattrass")</f>
        <v>Steven Nattrass</v>
      </c>
    </row>
    <row r="23" spans="1:15" ht="30" x14ac:dyDescent="0.25">
      <c r="A23" s="28" t="s">
        <v>280</v>
      </c>
      <c r="B23" s="7">
        <v>42975</v>
      </c>
      <c r="C23" s="8">
        <v>1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9" t="str">
        <f>HYPERLINK("mailto:abissevain@townofstratford.com","Andrea L. Boissevain")</f>
        <v>Andrea L. Boissevain</v>
      </c>
      <c r="O23" s="10" t="str">
        <f>HYPERLINK("mailto:Steven.Nattrass@fda.hhs.gov","Steven Nattrass")</f>
        <v>Steven Nattrass</v>
      </c>
    </row>
    <row r="24" spans="1:15" ht="30" x14ac:dyDescent="0.25">
      <c r="A24" s="11" t="str">
        <f>HYPERLINK("http://www.townofmanchester.org/","Town of Manchester Health Department")</f>
        <v>Town of Manchester Health Department</v>
      </c>
      <c r="B24" s="12">
        <v>41698</v>
      </c>
      <c r="C24" s="13">
        <v>1</v>
      </c>
      <c r="D24" s="12">
        <v>42171</v>
      </c>
      <c r="E24" s="13"/>
      <c r="F24" s="13"/>
      <c r="G24" s="13"/>
      <c r="H24" s="13"/>
      <c r="I24" s="13"/>
      <c r="J24" s="13"/>
      <c r="K24" s="13"/>
      <c r="L24" s="13"/>
      <c r="M24" s="13" t="s">
        <v>281</v>
      </c>
      <c r="N24" s="14" t="str">
        <f>HYPERLINK("mailto:jcatlett@manchesterct.gov","Jeffrey Catlett")</f>
        <v>Jeffrey Catlett</v>
      </c>
      <c r="O24" s="15" t="str">
        <f>HYPERLINK("mailto:Steven.Nattrass@fda.hhs.gov","Steven Nattrass")</f>
        <v>Steven Nattrass</v>
      </c>
    </row>
    <row r="25" spans="1:15" ht="30" x14ac:dyDescent="0.25">
      <c r="A25" s="6" t="str">
        <f>HYPERLINK("http://www.town.wallingford.ct.us/Content/Health%C3%82%C2%AD_Department.asp","Town of Wallingford Health Dept.")</f>
        <v>Town of Wallingford Health Dept.</v>
      </c>
      <c r="B25" s="7">
        <v>41885</v>
      </c>
      <c r="C25" s="8">
        <v>1</v>
      </c>
      <c r="D25" s="7">
        <v>42790</v>
      </c>
      <c r="E25" s="8"/>
      <c r="F25" s="8"/>
      <c r="G25" s="8"/>
      <c r="H25" s="8"/>
      <c r="I25" s="8"/>
      <c r="J25" s="8"/>
      <c r="K25" s="8"/>
      <c r="L25" s="8"/>
      <c r="M25" s="8"/>
      <c r="N25" s="9" t="str">
        <f>HYPERLINK("mailto:sanitarian@wallingfordct.gov","Stephen Civitelli")</f>
        <v>Stephen Civitelli</v>
      </c>
      <c r="O25" s="10" t="str">
        <f>HYPERLINK("mailto:Steven.Nattrass@fda.hhs.gov","Steven Nattrass")</f>
        <v>Steven Nattrass</v>
      </c>
    </row>
    <row r="26" spans="1:15" ht="30" x14ac:dyDescent="0.25">
      <c r="A26" s="11" t="str">
        <f>HYPERLINK("http://www.uncashd.org/","Uncas Health District")</f>
        <v>Uncas Health District</v>
      </c>
      <c r="B26" s="12">
        <v>39168</v>
      </c>
      <c r="C26" s="13">
        <v>1</v>
      </c>
      <c r="D26" s="12">
        <v>39884</v>
      </c>
      <c r="E26" s="13"/>
      <c r="F26" s="13"/>
      <c r="G26" s="13"/>
      <c r="H26" s="13"/>
      <c r="I26" s="13"/>
      <c r="J26" s="13"/>
      <c r="K26" s="13" t="s">
        <v>282</v>
      </c>
      <c r="L26" s="13"/>
      <c r="M26" s="13"/>
      <c r="N26" s="13" t="s">
        <v>283</v>
      </c>
      <c r="O26" s="15" t="str">
        <f>HYPERLINK("mailto:Steven.Nattrass@fda.hhs.gov","Steven Nattrass")</f>
        <v>Steven Nattrass</v>
      </c>
    </row>
    <row r="27" spans="1:15" ht="30" x14ac:dyDescent="0.25">
      <c r="A27" s="27" t="s">
        <v>284</v>
      </c>
      <c r="B27" s="17">
        <v>42655</v>
      </c>
      <c r="C27" s="18">
        <v>1</v>
      </c>
      <c r="D27" s="17">
        <v>42880</v>
      </c>
      <c r="E27" s="18"/>
      <c r="F27" s="18"/>
      <c r="G27" s="18"/>
      <c r="H27" s="18"/>
      <c r="I27" s="18"/>
      <c r="J27" s="18"/>
      <c r="K27" s="18"/>
      <c r="L27" s="18"/>
      <c r="M27" s="18"/>
      <c r="N27" s="19" t="str">
        <f>HYPERLINK("mailto:aimee.eberly@westhartfordct.gov","Aimee Krauss")</f>
        <v>Aimee Krauss</v>
      </c>
      <c r="O27" s="20" t="str">
        <f>HYPERLINK("mailto:Steven.Nattrass@fda.hhs.gov","Steven Nattrass")</f>
        <v>Steven Nattrass</v>
      </c>
    </row>
  </sheetData>
  <pageMargins left="0.15" right="0.15" top="0.25" bottom="0.25" header="0.05" footer="0.05"/>
  <pageSetup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D58B55B-5C45-4BD7-9583-6D6CEC1CE2EB}"/>
</file>

<file path=customXml/itemProps2.xml><?xml version="1.0" encoding="utf-8"?>
<ds:datastoreItem xmlns:ds="http://schemas.openxmlformats.org/officeDocument/2006/customXml" ds:itemID="{97C21726-72B1-49A2-ABE8-AB5312B7AC54}"/>
</file>

<file path=customXml/itemProps3.xml><?xml version="1.0" encoding="utf-8"?>
<ds:datastoreItem xmlns:ds="http://schemas.openxmlformats.org/officeDocument/2006/customXml" ds:itemID="{5B66C293-CA8A-4CD8-BA42-4A81A9A290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57</vt:i4>
      </vt:variant>
      <vt:variant>
        <vt:lpstr>Named Ranges</vt:lpstr>
      </vt:variant>
      <vt:variant>
        <vt:i4>56</vt:i4>
      </vt:variant>
    </vt:vector>
  </HeadingPairs>
  <TitlesOfParts>
    <vt:vector size="113" baseType="lpstr">
      <vt:lpstr>Introduction</vt:lpstr>
      <vt:lpstr>Alabama</vt:lpstr>
      <vt:lpstr>Alaska</vt:lpstr>
      <vt:lpstr>AmericanSamoa</vt:lpstr>
      <vt:lpstr>Arizona</vt:lpstr>
      <vt:lpstr>Arkansas</vt:lpstr>
      <vt:lpstr>California</vt:lpstr>
      <vt:lpstr>Colorado</vt:lpstr>
      <vt:lpstr>Connecticut</vt:lpstr>
      <vt:lpstr>Delaware</vt:lpstr>
      <vt:lpstr>Florida</vt:lpstr>
      <vt:lpstr>Georgia</vt:lpstr>
      <vt:lpstr>Guam</vt:lpstr>
      <vt:lpstr>Hawaii</vt:lpstr>
      <vt:lpstr>Idaho</vt:lpstr>
      <vt:lpstr>Illinois</vt:lpstr>
      <vt:lpstr>Indiana</vt:lpstr>
      <vt:lpstr>Iowa</vt:lpstr>
      <vt:lpstr>Kansas</vt:lpstr>
      <vt:lpstr>Kentucky</vt:lpstr>
      <vt:lpstr>Louisiana</vt:lpstr>
      <vt:lpstr>Maine</vt:lpstr>
      <vt:lpstr>Maryland</vt:lpstr>
      <vt:lpstr>Massachusetts</vt:lpstr>
      <vt:lpstr>Michigan</vt:lpstr>
      <vt:lpstr>Minnesota</vt:lpstr>
      <vt:lpstr>Mississippi</vt:lpstr>
      <vt:lpstr>Missouri</vt:lpstr>
      <vt:lpstr>Montana</vt:lpstr>
      <vt:lpstr>Nebraska</vt:lpstr>
      <vt:lpstr>Nevada</vt:lpstr>
      <vt:lpstr>New Hampshire</vt:lpstr>
      <vt:lpstr>New Jersey</vt:lpstr>
      <vt:lpstr>New Mexico</vt:lpstr>
      <vt:lpstr>New York</vt:lpstr>
      <vt:lpstr>North Carolina</vt:lpstr>
      <vt:lpstr>North Dakota</vt:lpstr>
      <vt:lpstr>Northern Mariana Islands</vt:lpstr>
      <vt:lpstr>Ohio</vt:lpstr>
      <vt:lpstr>Oklahoma</vt:lpstr>
      <vt:lpstr>Oregon</vt:lpstr>
      <vt:lpstr>Pennsylvania</vt:lpstr>
      <vt:lpstr>Puerto Rico</vt:lpstr>
      <vt:lpstr>Rhode Island</vt:lpstr>
      <vt:lpstr>South Carolina</vt:lpstr>
      <vt:lpstr>South Dakota</vt:lpstr>
      <vt:lpstr>Tennessee</vt:lpstr>
      <vt:lpstr>Texas</vt:lpstr>
      <vt:lpstr>Utah</vt:lpstr>
      <vt:lpstr>Vermont</vt:lpstr>
      <vt:lpstr>Virgin Island</vt:lpstr>
      <vt:lpstr>Virginia</vt:lpstr>
      <vt:lpstr>Washington</vt:lpstr>
      <vt:lpstr>Washington D.C.</vt:lpstr>
      <vt:lpstr>West Virginia</vt:lpstr>
      <vt:lpstr>Wisconsin</vt:lpstr>
      <vt:lpstr>Wyoming</vt:lpstr>
      <vt:lpstr>Alabama!Print_Area</vt:lpstr>
      <vt:lpstr>Alaska!Print_Area</vt:lpstr>
      <vt:lpstr>AmericanSamoa!Print_Area</vt:lpstr>
      <vt:lpstr>Arizona!Print_Area</vt:lpstr>
      <vt:lpstr>Arkansas!Print_Area</vt:lpstr>
      <vt:lpstr>California!Print_Area</vt:lpstr>
      <vt:lpstr>Colorado!Print_Area</vt:lpstr>
      <vt:lpstr>Connecticut!Print_Area</vt:lpstr>
      <vt:lpstr>Delaware!Print_Area</vt:lpstr>
      <vt:lpstr>Florida!Print_Area</vt:lpstr>
      <vt:lpstr>Georgia!Print_Area</vt:lpstr>
      <vt:lpstr>Guam!Print_Area</vt:lpstr>
      <vt:lpstr>Hawaii!Print_Area</vt:lpstr>
      <vt:lpstr>Idaho!Print_Area</vt:lpstr>
      <vt:lpstr>Illinois!Print_Area</vt:lpstr>
      <vt:lpstr>Indiana!Print_Area</vt:lpstr>
      <vt:lpstr>Iowa!Print_Area</vt:lpstr>
      <vt:lpstr>Kansas!Print_Area</vt:lpstr>
      <vt:lpstr>Kentucky!Print_Area</vt:lpstr>
      <vt:lpstr>Louisiana!Print_Area</vt:lpstr>
      <vt:lpstr>Maine!Print_Area</vt:lpstr>
      <vt:lpstr>Maryland!Print_Area</vt:lpstr>
      <vt:lpstr>Massachusetts!Print_Area</vt:lpstr>
      <vt:lpstr>Michigan!Print_Area</vt:lpstr>
      <vt:lpstr>Minnesota!Print_Area</vt:lpstr>
      <vt:lpstr>Mississippi!Print_Area</vt:lpstr>
      <vt:lpstr>Missouri!Print_Area</vt:lpstr>
      <vt:lpstr>Montana!Print_Area</vt:lpstr>
      <vt:lpstr>Nebraska!Print_Area</vt:lpstr>
      <vt:lpstr>Nevada!Print_Area</vt:lpstr>
      <vt:lpstr>'New Hampshire'!Print_Area</vt:lpstr>
      <vt:lpstr>'New Jersey'!Print_Area</vt:lpstr>
      <vt:lpstr>'New Mexico'!Print_Area</vt:lpstr>
      <vt:lpstr>'New York'!Print_Area</vt:lpstr>
      <vt:lpstr>'North Carolina'!Print_Area</vt:lpstr>
      <vt:lpstr>'North Dakota'!Print_Area</vt:lpstr>
      <vt:lpstr>'Northern Mariana Islands'!Print_Area</vt:lpstr>
      <vt:lpstr>Ohio!Print_Area</vt:lpstr>
      <vt:lpstr>Oklahoma!Print_Area</vt:lpstr>
      <vt:lpstr>Oregon!Print_Area</vt:lpstr>
      <vt:lpstr>Pennsylvania!Print_Area</vt:lpstr>
      <vt:lpstr>'Puerto Rico'!Print_Area</vt:lpstr>
      <vt:lpstr>'Rhode Island'!Print_Area</vt:lpstr>
      <vt:lpstr>'South Carolina'!Print_Area</vt:lpstr>
      <vt:lpstr>'South Dakota'!Print_Area</vt:lpstr>
      <vt:lpstr>Tennessee!Print_Area</vt:lpstr>
      <vt:lpstr>Texas!Print_Area</vt:lpstr>
      <vt:lpstr>Utah!Print_Area</vt:lpstr>
      <vt:lpstr>Vermont!Print_Area</vt:lpstr>
      <vt:lpstr>'Virgin Island'!Print_Area</vt:lpstr>
      <vt:lpstr>Virginia!Print_Area</vt:lpstr>
      <vt:lpstr>Washington!Print_Area</vt:lpstr>
      <vt:lpstr>'Washington D.C.'!Print_Area</vt:lpstr>
      <vt:lpstr>'West Virginia'!Print_Area</vt:lpstr>
      <vt:lpstr>Wisconsin!Print_Area</vt:lpstr>
      <vt:lpstr>Wyoming!Print_Area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Leong, Mary H</dc:creator>
  <cp:lastModifiedBy>Leong, Mary H</cp:lastModifiedBy>
  <dcterms:created xsi:type="dcterms:W3CDTF">2019-04-19T20:00:06Z</dcterms:created>
  <dcterms:modified xsi:type="dcterms:W3CDTF">2019-04-19T20:05:50Z</dcterms:modified>
</cp:coreProperties>
</file>